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120" windowHeight="8370" activeTab="5"/>
  </bookViews>
  <sheets>
    <sheet name="EC Puerto CabelloValencia" sheetId="1" r:id="rId1"/>
    <sheet name="EC Granel" sheetId="2" r:id="rId2"/>
    <sheet name="EC Liquido" sheetId="3" r:id="rId3"/>
    <sheet name="EC Reef" sheetId="4" r:id="rId4"/>
    <sheet name="EC Nuevos" sheetId="5" r:id="rId5"/>
    <sheet name="Estructura de Costos Usados" sheetId="6" r:id="rId6"/>
    <sheet name="Intereses Inversion Usados" sheetId="7" r:id="rId7"/>
    <sheet name="Costos Km" sheetId="8" r:id="rId8"/>
    <sheet name="Costos KM FCaja" sheetId="9" r:id="rId9"/>
    <sheet name="Hoja1" sheetId="10" r:id="rId10"/>
    <sheet name="Sheet1" sheetId="11" r:id="rId11"/>
  </sheets>
  <definedNames>
    <definedName name="_xlnm.Print_Area" localSheetId="7">'Costos Km'!$B$1:$N$101</definedName>
    <definedName name="_xlnm.Print_Area" localSheetId="5">'Estructura de Costos Usados'!$A$1:$P$53</definedName>
    <definedName name="_xlnm.Print_Area" localSheetId="6">'Intereses Inversion Usados'!$A$1:$G$90</definedName>
  </definedNames>
  <calcPr fullCalcOnLoad="1"/>
</workbook>
</file>

<file path=xl/comments1.xml><?xml version="1.0" encoding="utf-8"?>
<comments xmlns="http://schemas.openxmlformats.org/spreadsheetml/2006/main">
  <authors>
    <author>rgonzalez</author>
    <author>Raul Gonzalez</author>
    <author>Daniela Gonzalez</author>
  </authors>
  <commentList>
    <comment ref="I13" authorId="0">
      <text>
        <r>
          <rPr>
            <b/>
            <sz val="8"/>
            <rFont val="Tahoma"/>
            <family val="0"/>
          </rPr>
          <t>rgonzalez:</t>
        </r>
        <r>
          <rPr>
            <sz val="8"/>
            <rFont val="Tahoma"/>
            <family val="0"/>
          </rPr>
          <t xml:space="preserve">
incluye cesta ticket</t>
        </r>
      </text>
    </comment>
    <comment ref="H22" authorId="1">
      <text>
        <r>
          <rPr>
            <b/>
            <sz val="8"/>
            <rFont val="Tahoma"/>
            <family val="0"/>
          </rPr>
          <t>Raul Gonzalez:</t>
        </r>
        <r>
          <rPr>
            <sz val="8"/>
            <rFont val="Tahoma"/>
            <family val="0"/>
          </rPr>
          <t xml:space="preserve">
Bs. 174,915,000 x 70% =
Bs.122,440,500 a depreciar
entre 7 anos (84 meses)
</t>
        </r>
      </text>
    </comment>
    <comment ref="I27" authorId="0">
      <text>
        <r>
          <rPr>
            <b/>
            <sz val="8"/>
            <rFont val="Tahoma"/>
            <family val="0"/>
          </rPr>
          <t>Catracentro:
Bs.35.000 comida
Bs.30.000 ayudante
Bs.10.000 gastos</t>
        </r>
        <r>
          <rPr>
            <sz val="8"/>
            <rFont val="Tahoma"/>
            <family val="0"/>
          </rPr>
          <t xml:space="preserve">
</t>
        </r>
      </text>
    </comment>
    <comment ref="C32" authorId="2">
      <text>
        <r>
          <rPr>
            <b/>
            <sz val="8"/>
            <rFont val="Tahoma"/>
            <family val="0"/>
          </rPr>
          <t>Gerencia
Administrativo
Seguridad</t>
        </r>
      </text>
    </comment>
    <comment ref="C34" authorId="2">
      <text>
        <r>
          <rPr>
            <b/>
            <sz val="8"/>
            <rFont val="Tahoma"/>
            <family val="0"/>
          </rPr>
          <t>Alquiler
Electricidad, Agua
Telefono
Celulares
Uniformes
Vehiculos Apoyo
Gastos Legales
Seguros
Gastos Oficina
Papeleria</t>
        </r>
      </text>
    </comment>
    <comment ref="B38" authorId="2">
      <text>
        <r>
          <rPr>
            <b/>
            <sz val="8"/>
            <rFont val="Tahoma"/>
            <family val="0"/>
          </rPr>
          <t>Impuestos 5%
Perdidas por Robo
Lucro cesante
Equipos de back-up
Salario de Directores
Gastos de documentos
Gastos Traslados
Etc</t>
        </r>
      </text>
    </comment>
  </commentList>
</comments>
</file>

<file path=xl/comments2.xml><?xml version="1.0" encoding="utf-8"?>
<comments xmlns="http://schemas.openxmlformats.org/spreadsheetml/2006/main">
  <authors>
    <author>rgonzalez</author>
    <author>Raul Gonzalez</author>
    <author>Daniela Gonzalez</author>
  </authors>
  <commentList>
    <comment ref="I13" authorId="0">
      <text>
        <r>
          <rPr>
            <b/>
            <sz val="8"/>
            <rFont val="Tahoma"/>
            <family val="0"/>
          </rPr>
          <t>rgonzalez:</t>
        </r>
        <r>
          <rPr>
            <sz val="8"/>
            <rFont val="Tahoma"/>
            <family val="0"/>
          </rPr>
          <t xml:space="preserve">
incluye cesta ticket</t>
        </r>
      </text>
    </comment>
    <comment ref="H22" authorId="1">
      <text>
        <r>
          <rPr>
            <b/>
            <sz val="8"/>
            <rFont val="Tahoma"/>
            <family val="0"/>
          </rPr>
          <t>Raul Gonzalez:</t>
        </r>
        <r>
          <rPr>
            <sz val="8"/>
            <rFont val="Tahoma"/>
            <family val="0"/>
          </rPr>
          <t xml:space="preserve">
Bs. 174,915,000 x 70% =
Bs.122,440,500 a depreciar
entre 7 anos (84 meses)
</t>
        </r>
      </text>
    </comment>
    <comment ref="I27" authorId="0">
      <text>
        <r>
          <rPr>
            <b/>
            <sz val="8"/>
            <rFont val="Tahoma"/>
            <family val="0"/>
          </rPr>
          <t>Catracentro:
Bs.35.000 comida
Bs.30.000 ayudante
Bs.10.000 gastos</t>
        </r>
        <r>
          <rPr>
            <sz val="8"/>
            <rFont val="Tahoma"/>
            <family val="0"/>
          </rPr>
          <t xml:space="preserve">
</t>
        </r>
      </text>
    </comment>
    <comment ref="C32" authorId="2">
      <text>
        <r>
          <rPr>
            <b/>
            <sz val="8"/>
            <rFont val="Tahoma"/>
            <family val="0"/>
          </rPr>
          <t>Gerencia
Administrativo
Seguridad</t>
        </r>
      </text>
    </comment>
    <comment ref="C34" authorId="2">
      <text>
        <r>
          <rPr>
            <b/>
            <sz val="8"/>
            <rFont val="Tahoma"/>
            <family val="0"/>
          </rPr>
          <t>Alquiler
Electricidad, Agua
Telefono
Celulares
Uniformes
Vehiculos Apoyo
Gastos Legales
Seguros
Gastos Oficina
Papeleria</t>
        </r>
      </text>
    </comment>
    <comment ref="B38" authorId="2">
      <text>
        <r>
          <rPr>
            <b/>
            <sz val="8"/>
            <rFont val="Tahoma"/>
            <family val="0"/>
          </rPr>
          <t>Impuestos 5%
Perdidas por Robo
Lucro cesante
Equipos de back-up
Salario de Directores
Gastos de documentos
Gastos Traslados
Etc</t>
        </r>
      </text>
    </comment>
  </commentList>
</comments>
</file>

<file path=xl/comments3.xml><?xml version="1.0" encoding="utf-8"?>
<comments xmlns="http://schemas.openxmlformats.org/spreadsheetml/2006/main">
  <authors>
    <author>rgonzalez</author>
    <author>Raul Gonzalez</author>
    <author>Daniela Gonzalez</author>
  </authors>
  <commentList>
    <comment ref="I13" authorId="0">
      <text>
        <r>
          <rPr>
            <b/>
            <sz val="8"/>
            <rFont val="Tahoma"/>
            <family val="0"/>
          </rPr>
          <t>rgonzalez:</t>
        </r>
        <r>
          <rPr>
            <sz val="8"/>
            <rFont val="Tahoma"/>
            <family val="0"/>
          </rPr>
          <t xml:space="preserve">
incluye cesta ticket</t>
        </r>
      </text>
    </comment>
    <comment ref="H22" authorId="1">
      <text>
        <r>
          <rPr>
            <b/>
            <sz val="8"/>
            <rFont val="Tahoma"/>
            <family val="0"/>
          </rPr>
          <t>Raul Gonzalez:</t>
        </r>
        <r>
          <rPr>
            <sz val="8"/>
            <rFont val="Tahoma"/>
            <family val="0"/>
          </rPr>
          <t xml:space="preserve">
Bs. 174,915,000 x 70% =
Bs.122,440,500 a depreciar
entre 7 anos (84 meses)
</t>
        </r>
      </text>
    </comment>
    <comment ref="I27" authorId="0">
      <text>
        <r>
          <rPr>
            <b/>
            <sz val="8"/>
            <rFont val="Tahoma"/>
            <family val="0"/>
          </rPr>
          <t>Catracentro:
Bs.35.000 comida
Bs.30.000 ayudante
Bs.10.000 gastos</t>
        </r>
        <r>
          <rPr>
            <sz val="8"/>
            <rFont val="Tahoma"/>
            <family val="0"/>
          </rPr>
          <t xml:space="preserve">
</t>
        </r>
      </text>
    </comment>
    <comment ref="C32" authorId="2">
      <text>
        <r>
          <rPr>
            <b/>
            <sz val="8"/>
            <rFont val="Tahoma"/>
            <family val="0"/>
          </rPr>
          <t>Gerencia
Administrativo
Seguridad</t>
        </r>
      </text>
    </comment>
    <comment ref="C34" authorId="2">
      <text>
        <r>
          <rPr>
            <b/>
            <sz val="8"/>
            <rFont val="Tahoma"/>
            <family val="0"/>
          </rPr>
          <t>Alquiler
Electricidad, Agua
Telefono
Celulares
Uniformes
Vehiculos Apoyo
Gastos Legales
Seguros
Gastos Oficina
Papeleria</t>
        </r>
      </text>
    </comment>
    <comment ref="B38" authorId="2">
      <text>
        <r>
          <rPr>
            <b/>
            <sz val="8"/>
            <rFont val="Tahoma"/>
            <family val="0"/>
          </rPr>
          <t>Impuestos 5%
Perdidas por Robo
Lucro cesante
Equipos de back-up
Salario de Directores
Gastos de documentos
Gastos Traslados
Etc</t>
        </r>
      </text>
    </comment>
  </commentList>
</comments>
</file>

<file path=xl/comments4.xml><?xml version="1.0" encoding="utf-8"?>
<comments xmlns="http://schemas.openxmlformats.org/spreadsheetml/2006/main">
  <authors>
    <author>rgonzalez</author>
    <author>Raul Gonzalez</author>
    <author>Daniela Gonzalez</author>
  </authors>
  <commentList>
    <comment ref="I13" authorId="0">
      <text>
        <r>
          <rPr>
            <b/>
            <sz val="8"/>
            <rFont val="Tahoma"/>
            <family val="0"/>
          </rPr>
          <t>rgonzalez:</t>
        </r>
        <r>
          <rPr>
            <sz val="8"/>
            <rFont val="Tahoma"/>
            <family val="0"/>
          </rPr>
          <t xml:space="preserve">
incluye cesta ticket</t>
        </r>
      </text>
    </comment>
    <comment ref="H22" authorId="1">
      <text>
        <r>
          <rPr>
            <b/>
            <sz val="8"/>
            <rFont val="Tahoma"/>
            <family val="0"/>
          </rPr>
          <t>Raul Gonzalez:</t>
        </r>
        <r>
          <rPr>
            <sz val="8"/>
            <rFont val="Tahoma"/>
            <family val="0"/>
          </rPr>
          <t xml:space="preserve">
Bs. 174,915,000 x 70% =
Bs.122,440,500 a depreciar
entre 7 anos (84 meses)
</t>
        </r>
      </text>
    </comment>
    <comment ref="I27" authorId="0">
      <text>
        <r>
          <rPr>
            <b/>
            <sz val="8"/>
            <rFont val="Tahoma"/>
            <family val="0"/>
          </rPr>
          <t>Catracentro:
Bs.35.000 comida
Bs.30.000 ayudante
Bs.10.000 gastos</t>
        </r>
        <r>
          <rPr>
            <sz val="8"/>
            <rFont val="Tahoma"/>
            <family val="0"/>
          </rPr>
          <t xml:space="preserve">
</t>
        </r>
      </text>
    </comment>
    <comment ref="C32" authorId="2">
      <text>
        <r>
          <rPr>
            <b/>
            <sz val="8"/>
            <rFont val="Tahoma"/>
            <family val="0"/>
          </rPr>
          <t>Gerencia
Administrativo
Seguridad</t>
        </r>
      </text>
    </comment>
    <comment ref="C34" authorId="2">
      <text>
        <r>
          <rPr>
            <b/>
            <sz val="8"/>
            <rFont val="Tahoma"/>
            <family val="0"/>
          </rPr>
          <t>Alquiler
Electricidad, Agua
Telefono
Celulares
Uniformes
Vehiculos Apoyo
Gastos Legales
Seguros
Gastos Oficina
Papeleria</t>
        </r>
      </text>
    </comment>
    <comment ref="B38" authorId="2">
      <text>
        <r>
          <rPr>
            <b/>
            <sz val="8"/>
            <rFont val="Tahoma"/>
            <family val="0"/>
          </rPr>
          <t>Impuestos 5%
Perdidas por Robo
Lucro cesante
Equipos de back-up
Salario de Directores
Gastos de documentos
Gastos Traslados
Etc</t>
        </r>
      </text>
    </comment>
  </commentList>
</comments>
</file>

<file path=xl/comments5.xml><?xml version="1.0" encoding="utf-8"?>
<comments xmlns="http://schemas.openxmlformats.org/spreadsheetml/2006/main">
  <authors>
    <author>rgonzalez</author>
    <author>Raul Gonzalez</author>
    <author>Daniela Gonzalez</author>
  </authors>
  <commentList>
    <comment ref="I13" authorId="0">
      <text>
        <r>
          <rPr>
            <b/>
            <sz val="8"/>
            <rFont val="Tahoma"/>
            <family val="0"/>
          </rPr>
          <t>rgonzalez:</t>
        </r>
        <r>
          <rPr>
            <sz val="8"/>
            <rFont val="Tahoma"/>
            <family val="0"/>
          </rPr>
          <t xml:space="preserve">
incluye cesta ticket</t>
        </r>
      </text>
    </comment>
    <comment ref="H22" authorId="1">
      <text>
        <r>
          <rPr>
            <b/>
            <sz val="8"/>
            <rFont val="Tahoma"/>
            <family val="0"/>
          </rPr>
          <t>Raul Gonzalez:</t>
        </r>
        <r>
          <rPr>
            <sz val="8"/>
            <rFont val="Tahoma"/>
            <family val="0"/>
          </rPr>
          <t xml:space="preserve">
Bs. 174,915,000 x 70% =
Bs.122,440,500 a depreciar
entre 7 anos (84 meses)
</t>
        </r>
      </text>
    </comment>
    <comment ref="I27" authorId="0">
      <text>
        <r>
          <rPr>
            <b/>
            <sz val="8"/>
            <rFont val="Tahoma"/>
            <family val="0"/>
          </rPr>
          <t>Catracentro:
Bs.35.000 comida
Bs.30.000 ayudante
Bs.10.000 gastos</t>
        </r>
        <r>
          <rPr>
            <sz val="8"/>
            <rFont val="Tahoma"/>
            <family val="0"/>
          </rPr>
          <t xml:space="preserve">
</t>
        </r>
      </text>
    </comment>
    <comment ref="C32" authorId="2">
      <text>
        <r>
          <rPr>
            <b/>
            <sz val="8"/>
            <rFont val="Tahoma"/>
            <family val="0"/>
          </rPr>
          <t>Gerencia
Administrativo
Seguridad</t>
        </r>
      </text>
    </comment>
    <comment ref="C34" authorId="2">
      <text>
        <r>
          <rPr>
            <b/>
            <sz val="8"/>
            <rFont val="Tahoma"/>
            <family val="0"/>
          </rPr>
          <t>Alquiler
Electricidad, Agua
Telefono
Celulares
Uniformes
Vehiculos Apoyo
Gastos Legales
Seguros
Gastos Oficina
Papeleria</t>
        </r>
      </text>
    </comment>
    <comment ref="B38" authorId="2">
      <text>
        <r>
          <rPr>
            <b/>
            <sz val="8"/>
            <rFont val="Tahoma"/>
            <family val="0"/>
          </rPr>
          <t>Impuestos 5%
Perdidas por Robo
Lucro cesante
Equipos de back-up
Salario de Directores
Gastos de documentos
Gastos Traslados
Etc</t>
        </r>
      </text>
    </comment>
  </commentList>
</comments>
</file>

<file path=xl/comments6.xml><?xml version="1.0" encoding="utf-8"?>
<comments xmlns="http://schemas.openxmlformats.org/spreadsheetml/2006/main">
  <authors>
    <author>Daniela Gonzalez</author>
    <author>Raul Gonzalez</author>
    <author>rgonzalez</author>
  </authors>
  <commentList>
    <comment ref="C32" authorId="0">
      <text>
        <r>
          <rPr>
            <b/>
            <sz val="8"/>
            <rFont val="Tahoma"/>
            <family val="0"/>
          </rPr>
          <t>Gerencia
Administrativo
Seguridad</t>
        </r>
      </text>
    </comment>
    <comment ref="C34" authorId="0">
      <text>
        <r>
          <rPr>
            <b/>
            <sz val="8"/>
            <rFont val="Tahoma"/>
            <family val="0"/>
          </rPr>
          <t>Alquiler
Electricidad, Agua
Telefono
Celulares
Uniformes
Vehiculos Apoyo
Gastos Legales
Seguros
Gastos Oficina
Papeleria</t>
        </r>
      </text>
    </comment>
    <comment ref="B38" authorId="0">
      <text>
        <r>
          <rPr>
            <b/>
            <sz val="8"/>
            <rFont val="Tahoma"/>
            <family val="0"/>
          </rPr>
          <t>Impuestos 5%
Perdidas por Robo
Lucro cesante
Equipos de back-up
Salario de Directores
Gastos de documentos
Gastos Traslados
Etc</t>
        </r>
      </text>
    </comment>
    <comment ref="H22" authorId="1">
      <text>
        <r>
          <rPr>
            <b/>
            <sz val="8"/>
            <rFont val="Tahoma"/>
            <family val="0"/>
          </rPr>
          <t>Raul Gonzalez:</t>
        </r>
        <r>
          <rPr>
            <sz val="8"/>
            <rFont val="Tahoma"/>
            <family val="0"/>
          </rPr>
          <t xml:space="preserve">
Bs. 174,915,000 x 70% =
Bs.122,440,500 a depreciar
entre 7 anos (84 meses)
</t>
        </r>
      </text>
    </comment>
    <comment ref="I13" authorId="2">
      <text>
        <r>
          <rPr>
            <b/>
            <sz val="8"/>
            <rFont val="Tahoma"/>
            <family val="0"/>
          </rPr>
          <t>rgonzalez:</t>
        </r>
        <r>
          <rPr>
            <sz val="8"/>
            <rFont val="Tahoma"/>
            <family val="0"/>
          </rPr>
          <t xml:space="preserve">
incluye cesta ticket</t>
        </r>
      </text>
    </comment>
    <comment ref="I27" authorId="2">
      <text>
        <r>
          <rPr>
            <b/>
            <sz val="8"/>
            <rFont val="Tahoma"/>
            <family val="0"/>
          </rPr>
          <t>Catracentro:
Bs.35.000 comida
Bs.30.000 ayudante
Bs.10.000 gastos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<sst xmlns="http://schemas.openxmlformats.org/spreadsheetml/2006/main" count="1232" uniqueCount="305">
  <si>
    <t>Fijo x Dia</t>
  </si>
  <si>
    <t>Variab x Km</t>
  </si>
  <si>
    <t>Gandolas</t>
  </si>
  <si>
    <t>Chuto + Trailer</t>
  </si>
  <si>
    <t>Trailer req</t>
  </si>
  <si>
    <t>Camion 750</t>
  </si>
  <si>
    <t>Variables:</t>
  </si>
  <si>
    <t>Dias Habiles</t>
  </si>
  <si>
    <t>Inflacion-Accum</t>
  </si>
  <si>
    <t>Inversion Total Bs.</t>
  </si>
  <si>
    <t>Bs/US$ Actual</t>
  </si>
  <si>
    <t>Seguro</t>
  </si>
  <si>
    <t>Mano de obra</t>
  </si>
  <si>
    <t>Salario min actual</t>
  </si>
  <si>
    <t>Seguro Carga</t>
  </si>
  <si>
    <t>Combustible Bs</t>
  </si>
  <si>
    <t>Depreciacion</t>
  </si>
  <si>
    <t>Bs/Us$</t>
  </si>
  <si>
    <t>Valor Residual</t>
  </si>
  <si>
    <t>Estructura Costos</t>
  </si>
  <si>
    <t>Fijos</t>
  </si>
  <si>
    <t>variable</t>
  </si>
  <si>
    <t>Total</t>
  </si>
  <si>
    <t>Total Acc</t>
  </si>
  <si>
    <t>total check</t>
  </si>
  <si>
    <t>Gandola Fijo</t>
  </si>
  <si>
    <t>Gand Var</t>
  </si>
  <si>
    <t>Rem Fijo</t>
  </si>
  <si>
    <t>Rem var</t>
  </si>
  <si>
    <t>750 fijo</t>
  </si>
  <si>
    <t>750 var</t>
  </si>
  <si>
    <r>
      <t>Costos de Inversion y Financieros</t>
    </r>
    <r>
      <rPr>
        <b/>
        <u val="single"/>
        <sz val="10"/>
        <rFont val="Arial"/>
        <family val="2"/>
      </rPr>
      <t>:</t>
    </r>
  </si>
  <si>
    <t>Financiamiento Inversion</t>
  </si>
  <si>
    <t>Seguro Vehiculos</t>
  </si>
  <si>
    <t>Financiamiento otros</t>
  </si>
  <si>
    <t>Costos Operativos:</t>
  </si>
  <si>
    <t>Perdidas</t>
  </si>
  <si>
    <t>Mantenimiento - Reparaciones</t>
  </si>
  <si>
    <t>Combustible</t>
  </si>
  <si>
    <t>Viaticos</t>
  </si>
  <si>
    <t>Nominas -Choferes</t>
  </si>
  <si>
    <t>Gastos Administrativos:</t>
  </si>
  <si>
    <t>Nominas</t>
  </si>
  <si>
    <t>Pasivo Laboral</t>
  </si>
  <si>
    <t>Gastos Administrativos Generales</t>
  </si>
  <si>
    <t>Costos Totales</t>
  </si>
  <si>
    <t>Ganancia</t>
  </si>
  <si>
    <t>Precio (Facturacion) Total Mes</t>
  </si>
  <si>
    <t>Por dia</t>
  </si>
  <si>
    <t>Por Km</t>
  </si>
  <si>
    <t>Mantenimiento y Reparaciones:</t>
  </si>
  <si>
    <t>COMPONENTE</t>
  </si>
  <si>
    <t>millas</t>
  </si>
  <si>
    <t>Frecuencia Km</t>
  </si>
  <si>
    <t>Costo US$</t>
  </si>
  <si>
    <t>Costo Bs.</t>
  </si>
  <si>
    <t>Horas</t>
  </si>
  <si>
    <t>Total x Kms</t>
  </si>
  <si>
    <t>Costo</t>
  </si>
  <si>
    <t xml:space="preserve">Reparacion </t>
  </si>
  <si>
    <t>Repuesto</t>
  </si>
  <si>
    <t>Mano Obra</t>
  </si>
  <si>
    <t>Bolivares</t>
  </si>
  <si>
    <t>GASTOS Operativos Variables Gandola Chuto Mack Doble eje:</t>
  </si>
  <si>
    <t>Sistema Electrico:</t>
  </si>
  <si>
    <t xml:space="preserve">     A/C</t>
  </si>
  <si>
    <t xml:space="preserve">     Manometros  </t>
  </si>
  <si>
    <t xml:space="preserve">     Luces</t>
  </si>
  <si>
    <t xml:space="preserve">     Accesorios</t>
  </si>
  <si>
    <t xml:space="preserve">     Motor de Arranque</t>
  </si>
  <si>
    <t xml:space="preserve">     Alternador</t>
  </si>
  <si>
    <t xml:space="preserve">     Baterias</t>
  </si>
  <si>
    <t xml:space="preserve">          Total Sistema Electrico:</t>
  </si>
  <si>
    <t>Frenos:</t>
  </si>
  <si>
    <t xml:space="preserve">     Reparacion menor</t>
  </si>
  <si>
    <t xml:space="preserve">     Reparacion Mayor</t>
  </si>
  <si>
    <t xml:space="preserve">     Ajustes</t>
  </si>
  <si>
    <t xml:space="preserve">     Tambores</t>
  </si>
  <si>
    <t xml:space="preserve">     Sellos</t>
  </si>
  <si>
    <t xml:space="preserve">          Total Frenos:</t>
  </si>
  <si>
    <t>Suspension y Resortes:</t>
  </si>
  <si>
    <t xml:space="preserve">     Resortes</t>
  </si>
  <si>
    <t xml:space="preserve">     Suspension</t>
  </si>
  <si>
    <t xml:space="preserve">          Total Suspension y Resortes:</t>
  </si>
  <si>
    <t>Ejes de Carga:</t>
  </si>
  <si>
    <t xml:space="preserve">     Direccion</t>
  </si>
  <si>
    <t xml:space="preserve">     Pin</t>
  </si>
  <si>
    <t xml:space="preserve">     Clutch</t>
  </si>
  <si>
    <t xml:space="preserve">     Diferencial</t>
  </si>
  <si>
    <t xml:space="preserve">     Caja</t>
  </si>
  <si>
    <t xml:space="preserve">     Cardan   </t>
  </si>
  <si>
    <t xml:space="preserve">     Eje de carga Delantero</t>
  </si>
  <si>
    <t xml:space="preserve">     Eje de Carga Trasero</t>
  </si>
  <si>
    <t xml:space="preserve">          Total Ejes de Carga:</t>
  </si>
  <si>
    <t>Motor:</t>
  </si>
  <si>
    <t xml:space="preserve">     Bomba de Agua</t>
  </si>
  <si>
    <t xml:space="preserve">     Purificador de Aire</t>
  </si>
  <si>
    <t xml:space="preserve">     Radiador</t>
  </si>
  <si>
    <t xml:space="preserve">     Entonacion</t>
  </si>
  <si>
    <t xml:space="preserve">     Turbo</t>
  </si>
  <si>
    <t xml:space="preserve">     Bomba Combustible</t>
  </si>
  <si>
    <t xml:space="preserve">     Sistema de Aceite</t>
  </si>
  <si>
    <t xml:space="preserve">     Enfriamiento</t>
  </si>
  <si>
    <t xml:space="preserve">     Sistema de Escape</t>
  </si>
  <si>
    <t xml:space="preserve">     Sistema Electronico</t>
  </si>
  <si>
    <t xml:space="preserve">          Total Motor</t>
  </si>
  <si>
    <t>Cauchos y Aliniamiento:</t>
  </si>
  <si>
    <t xml:space="preserve">     Cauchos delanteros</t>
  </si>
  <si>
    <t xml:space="preserve">     Cauchos Traseros</t>
  </si>
  <si>
    <t xml:space="preserve">     Rines</t>
  </si>
  <si>
    <t xml:space="preserve">     Espiches y daños</t>
  </si>
  <si>
    <t xml:space="preserve">     Alineacion</t>
  </si>
  <si>
    <t xml:space="preserve">     Balanceo</t>
  </si>
  <si>
    <t xml:space="preserve">          Total Cauchos y Aliniamiento:</t>
  </si>
  <si>
    <t>Mantenimiento:</t>
  </si>
  <si>
    <t xml:space="preserve">     Cambio de Aceite</t>
  </si>
  <si>
    <t xml:space="preserve">     Aceite Add</t>
  </si>
  <si>
    <t xml:space="preserve">     Filtros</t>
  </si>
  <si>
    <t xml:space="preserve">     Lubricantes/Fluidos</t>
  </si>
  <si>
    <t xml:space="preserve">     Limpieza</t>
  </si>
  <si>
    <t xml:space="preserve">          Total Mantenimiento:</t>
  </si>
  <si>
    <t>Auxilio Vial:</t>
  </si>
  <si>
    <t xml:space="preserve">     Servicio de Carretera</t>
  </si>
  <si>
    <t xml:space="preserve">     Reparaciones menores</t>
  </si>
  <si>
    <t xml:space="preserve">     Grua</t>
  </si>
  <si>
    <t xml:space="preserve">          Total Auxilio Vial:</t>
  </si>
  <si>
    <t>Latoneria y Pintura:</t>
  </si>
  <si>
    <t xml:space="preserve">     Camion</t>
  </si>
  <si>
    <t xml:space="preserve">          Total Latoneria y Pintura:</t>
  </si>
  <si>
    <t>Otros:</t>
  </si>
  <si>
    <t xml:space="preserve">     Gasoil</t>
  </si>
  <si>
    <t xml:space="preserve">          Total Otros:</t>
  </si>
  <si>
    <t>TOTAL Gasto Operativo Variable</t>
  </si>
  <si>
    <t>GASTOS Operativos Variables Trailer Doble eje</t>
  </si>
  <si>
    <t>Refrigeracion:</t>
  </si>
  <si>
    <t xml:space="preserve">     Mantenimiento</t>
  </si>
  <si>
    <t xml:space="preserve">     Sistema frio y freon</t>
  </si>
  <si>
    <t xml:space="preserve">     Motor</t>
  </si>
  <si>
    <t xml:space="preserve">     Sistema de Enfriamiento</t>
  </si>
  <si>
    <t xml:space="preserve">          Total Refrigeracion:</t>
  </si>
  <si>
    <t xml:space="preserve">     Cauchos </t>
  </si>
  <si>
    <t>Otros</t>
  </si>
  <si>
    <t xml:space="preserve">     Eje de Carga Trailer</t>
  </si>
  <si>
    <t xml:space="preserve">     Latoneria Trailer</t>
  </si>
  <si>
    <t xml:space="preserve">     Latoneria Thermo king</t>
  </si>
  <si>
    <t xml:space="preserve">     Logos</t>
  </si>
  <si>
    <t>MANTENIMIENTO Y REPARACIONES VEH-750</t>
  </si>
  <si>
    <t>FECHA:</t>
  </si>
  <si>
    <t>US$=</t>
  </si>
  <si>
    <t>REPARACION</t>
  </si>
  <si>
    <t>REPUESTOS</t>
  </si>
  <si>
    <t>MANO DE OBRA</t>
  </si>
  <si>
    <t>TOTALxKM</t>
  </si>
  <si>
    <t>Frecuencia KM</t>
  </si>
  <si>
    <t>Bs/KM</t>
  </si>
  <si>
    <t>SISTEMA ELECTRICO:</t>
  </si>
  <si>
    <t>Aire Acondicionado</t>
  </si>
  <si>
    <t>Manometros</t>
  </si>
  <si>
    <t>Cepillo Limpia Prarabrisas</t>
  </si>
  <si>
    <t>Luces</t>
  </si>
  <si>
    <t>Accesorios</t>
  </si>
  <si>
    <t>Arranque</t>
  </si>
  <si>
    <t>Alternador</t>
  </si>
  <si>
    <t>Baterias</t>
  </si>
  <si>
    <t>TOTAL SISTEMA ELECTRICO:</t>
  </si>
  <si>
    <t>FRENOS:</t>
  </si>
  <si>
    <t>Reparacion Menor</t>
  </si>
  <si>
    <t>Reparacion Mayor</t>
  </si>
  <si>
    <t>Ajustes</t>
  </si>
  <si>
    <t>Tambores</t>
  </si>
  <si>
    <t>Valvulas</t>
  </si>
  <si>
    <t>TOTAL FRENOS</t>
  </si>
  <si>
    <t>SUSPENSIÓN Y RESORTES:</t>
  </si>
  <si>
    <t>Resortes</t>
  </si>
  <si>
    <t>Suspension</t>
  </si>
  <si>
    <t>TOTAL SUSPENSION Y RESORTES</t>
  </si>
  <si>
    <t>EJE DE CARGA:</t>
  </si>
  <si>
    <t>Direccion</t>
  </si>
  <si>
    <t>Pin</t>
  </si>
  <si>
    <t>Clutch</t>
  </si>
  <si>
    <t>Diferencial</t>
  </si>
  <si>
    <t>Caja</t>
  </si>
  <si>
    <t>Cardan</t>
  </si>
  <si>
    <t>Eje de Carga Delantero</t>
  </si>
  <si>
    <t>Eje de Carga Trasero</t>
  </si>
  <si>
    <t>TOTAL EJE DE CARGA</t>
  </si>
  <si>
    <t>MOTOR:</t>
  </si>
  <si>
    <t>Motor</t>
  </si>
  <si>
    <t>Bomba de Agua</t>
  </si>
  <si>
    <t>Purificador de Aire</t>
  </si>
  <si>
    <t>Radiador</t>
  </si>
  <si>
    <t>Entonacion</t>
  </si>
  <si>
    <t>Overhaul</t>
  </si>
  <si>
    <t>Turbo</t>
  </si>
  <si>
    <t>Bomba Combustible</t>
  </si>
  <si>
    <t>Sistema de Aceite</t>
  </si>
  <si>
    <t>Enfriamiento</t>
  </si>
  <si>
    <t>Sistema de Escape</t>
  </si>
  <si>
    <t>Sistema Inyect/Cable/Bujia/Distribucion</t>
  </si>
  <si>
    <t>TOTAL MOTOR</t>
  </si>
  <si>
    <t>CAUCHOS Y ALINEAMIENTOS:</t>
  </si>
  <si>
    <r>
      <t xml:space="preserve">Cauchos </t>
    </r>
    <r>
      <rPr>
        <sz val="8"/>
        <rFont val="Arial"/>
        <family val="2"/>
      </rPr>
      <t>Delanteros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(11-00-20 CT-150 con T/P)</t>
    </r>
  </si>
  <si>
    <r>
      <t xml:space="preserve">Cauchos </t>
    </r>
    <r>
      <rPr>
        <sz val="8"/>
        <rFont val="Arial"/>
        <family val="2"/>
      </rPr>
      <t>Traseros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(11-00-20 CT-150 con T/P)</t>
    </r>
  </si>
  <si>
    <t>Rines</t>
  </si>
  <si>
    <t>Espiches y Daños</t>
  </si>
  <si>
    <t>Alineacion</t>
  </si>
  <si>
    <t>Balanceo</t>
  </si>
  <si>
    <t>TOTAL CAUCHOS Y ALINEACION</t>
  </si>
  <si>
    <t>MANTENIMIENTO:</t>
  </si>
  <si>
    <t>Cambio de Aceite/Motor</t>
  </si>
  <si>
    <t>Aceite Caja/Transmicion</t>
  </si>
  <si>
    <t>Filtros</t>
  </si>
  <si>
    <t>Lubricantes/Fluidos</t>
  </si>
  <si>
    <t>Limpieza</t>
  </si>
  <si>
    <t>TOTAL MANTENIMIENTO</t>
  </si>
  <si>
    <t>AUXILIO VIAL:</t>
  </si>
  <si>
    <t>Servicio de Carretera</t>
  </si>
  <si>
    <t>Reparaciones Menores</t>
  </si>
  <si>
    <t>Grua</t>
  </si>
  <si>
    <t>TOTAL AUXILIO VIAL</t>
  </si>
  <si>
    <t>LATONERIA Y PINTURA:</t>
  </si>
  <si>
    <t>Camion</t>
  </si>
  <si>
    <t>TOTAL LATONERIA Y PINTURA</t>
  </si>
  <si>
    <t>OTROS:</t>
  </si>
  <si>
    <t>Gasolina/Gasoil</t>
  </si>
  <si>
    <t>TOTAL OTROS</t>
  </si>
  <si>
    <t>TOTAL GASTOS OPERATIVOS VARIABLES</t>
  </si>
  <si>
    <t>MANTENIMIENTO Y REPARACIONES VEH-350</t>
  </si>
  <si>
    <t>Cauchos Delanteros (750-16 Tragalegua)</t>
  </si>
  <si>
    <t>Cauchos Traseros (750-16 Tragalegua)</t>
  </si>
  <si>
    <t>Costo Bs</t>
  </si>
  <si>
    <t xml:space="preserve">   Feb 2003</t>
  </si>
  <si>
    <t>Gandola</t>
  </si>
  <si>
    <t>Camion tipo 750</t>
  </si>
  <si>
    <t>Camion tipo 350</t>
  </si>
  <si>
    <t xml:space="preserve">     Vidrios y sistema de limp</t>
  </si>
  <si>
    <t xml:space="preserve">     Overhaul Motor</t>
  </si>
  <si>
    <t>Parabrisas</t>
  </si>
  <si>
    <t>Inversion:</t>
  </si>
  <si>
    <t>Prom Km mes</t>
  </si>
  <si>
    <t>Tot x Unidad</t>
  </si>
  <si>
    <t>Total mes</t>
  </si>
  <si>
    <t>Pasivo Laboral personal Operativo</t>
  </si>
  <si>
    <t>Nominas  Personal Operaciones</t>
  </si>
  <si>
    <t>Ref USA</t>
  </si>
  <si>
    <t>Destino</t>
  </si>
  <si>
    <t>Dias</t>
  </si>
  <si>
    <t>Kms</t>
  </si>
  <si>
    <t>Valor Kms</t>
  </si>
  <si>
    <t>Valor Dias</t>
  </si>
  <si>
    <t>Precio Gand</t>
  </si>
  <si>
    <t>Precio 750</t>
  </si>
  <si>
    <t>Precio 350</t>
  </si>
  <si>
    <t>Valencia-Barcelona</t>
  </si>
  <si>
    <t>Costo kms</t>
  </si>
  <si>
    <t>Interes</t>
  </si>
  <si>
    <t>Costo Acc</t>
  </si>
  <si>
    <t>Parametros:</t>
  </si>
  <si>
    <t>Año</t>
  </si>
  <si>
    <t>Venta Camiones Pesados</t>
  </si>
  <si>
    <t>Promedio Anual</t>
  </si>
  <si>
    <t>2000-2003</t>
  </si>
  <si>
    <t>1994-2003</t>
  </si>
  <si>
    <t>1984-1993</t>
  </si>
  <si>
    <t>*inc imp usados</t>
  </si>
  <si>
    <t>IPC</t>
  </si>
  <si>
    <t>Enero</t>
  </si>
  <si>
    <t>Dif</t>
  </si>
  <si>
    <t>Flete Referencial</t>
  </si>
  <si>
    <t>Ajuste</t>
  </si>
  <si>
    <t>Diferencia en el flete contra inc ipc</t>
  </si>
  <si>
    <t>Venta total de Camiones Pesados 1982-2003 (20)</t>
  </si>
  <si>
    <t>Capital</t>
  </si>
  <si>
    <t>Saldo</t>
  </si>
  <si>
    <t>Intereses Inversion</t>
  </si>
  <si>
    <t>Trailers</t>
  </si>
  <si>
    <t>Impuestos varios</t>
  </si>
  <si>
    <t>Financiamiento otros (C/C)</t>
  </si>
  <si>
    <t>Ult Mant</t>
  </si>
  <si>
    <t>Gandola Batea</t>
  </si>
  <si>
    <t>Barcelona</t>
  </si>
  <si>
    <t>Caracas</t>
  </si>
  <si>
    <t>Pto. Ordaz</t>
  </si>
  <si>
    <t>Maracaibo</t>
  </si>
  <si>
    <t>Pto Cabello</t>
  </si>
  <si>
    <t>Pto La Cruz</t>
  </si>
  <si>
    <t>Valencia-PuertoCabello</t>
  </si>
  <si>
    <t>Camiones NPR</t>
  </si>
  <si>
    <t>NPR fijo</t>
  </si>
  <si>
    <t>NPR Var</t>
  </si>
  <si>
    <t>Camiones 8000</t>
  </si>
  <si>
    <t>Camion NPR</t>
  </si>
  <si>
    <t>Camion 8000</t>
  </si>
  <si>
    <t>Oct-Dic</t>
  </si>
  <si>
    <t>Ene-Jun</t>
  </si>
  <si>
    <t>inpc</t>
  </si>
  <si>
    <t>abril 09</t>
  </si>
  <si>
    <t>FEB 10 EST</t>
  </si>
  <si>
    <t>var</t>
  </si>
  <si>
    <t>julio08</t>
  </si>
  <si>
    <t>mayo 09</t>
  </si>
  <si>
    <t>Valencia-Cagua</t>
  </si>
  <si>
    <t>Valencia-caracas</t>
  </si>
  <si>
    <t>Precio npr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</si>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</sst>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.##0.00"/>
    <numFmt numFmtId="166" formatCode="#,##0.0"/>
    <numFmt numFmtId="167" formatCode="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0"/>
    </font>
    <font>
      <b/>
      <sz val="16"/>
      <color indexed="17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64" fontId="0" fillId="33" borderId="12" xfId="59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33" borderId="14" xfId="59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164" fontId="0" fillId="0" borderId="0" xfId="59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64" fontId="0" fillId="0" borderId="14" xfId="59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164" fontId="2" fillId="33" borderId="14" xfId="59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35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9" fontId="0" fillId="34" borderId="0" xfId="59" applyFont="1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2" fillId="35" borderId="16" xfId="0" applyNumberFormat="1" applyFont="1" applyFill="1" applyBorder="1" applyAlignment="1">
      <alignment/>
    </xf>
    <xf numFmtId="164" fontId="0" fillId="33" borderId="17" xfId="59" applyNumberFormat="1" applyFont="1" applyFill="1" applyBorder="1" applyAlignment="1">
      <alignment/>
    </xf>
    <xf numFmtId="164" fontId="0" fillId="0" borderId="0" xfId="59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/>
    </xf>
    <xf numFmtId="43" fontId="0" fillId="0" borderId="0" xfId="42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0" fillId="0" borderId="0" xfId="42" applyBorder="1" applyAlignment="1">
      <alignment/>
    </xf>
    <xf numFmtId="43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43" fontId="10" fillId="0" borderId="0" xfId="42" applyFont="1" applyBorder="1" applyAlignment="1">
      <alignment/>
    </xf>
    <xf numFmtId="0" fontId="9" fillId="0" borderId="0" xfId="0" applyFont="1" applyBorder="1" applyAlignment="1">
      <alignment/>
    </xf>
    <xf numFmtId="43" fontId="0" fillId="0" borderId="0" xfId="42" applyFill="1" applyBorder="1" applyAlignment="1">
      <alignment/>
    </xf>
    <xf numFmtId="43" fontId="12" fillId="0" borderId="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34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10" fontId="0" fillId="0" borderId="0" xfId="59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/>
    </xf>
    <xf numFmtId="9" fontId="0" fillId="0" borderId="0" xfId="59" applyFont="1" applyAlignment="1">
      <alignment/>
    </xf>
    <xf numFmtId="10" fontId="0" fillId="0" borderId="0" xfId="59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36" borderId="0" xfId="0" applyNumberFormat="1" applyFont="1" applyFill="1" applyAlignment="1">
      <alignment/>
    </xf>
    <xf numFmtId="4" fontId="0" fillId="36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9" fontId="0" fillId="0" borderId="0" xfId="59" applyFont="1" applyAlignment="1">
      <alignment/>
    </xf>
    <xf numFmtId="43" fontId="0" fillId="0" borderId="0" xfId="0" applyNumberFormat="1" applyAlignment="1">
      <alignment/>
    </xf>
    <xf numFmtId="3" fontId="2" fillId="0" borderId="11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5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9" fontId="0" fillId="0" borderId="14" xfId="59" applyFont="1" applyBorder="1" applyAlignment="1">
      <alignment/>
    </xf>
    <xf numFmtId="3" fontId="0" fillId="0" borderId="17" xfId="0" applyNumberFormat="1" applyFont="1" applyBorder="1" applyAlignment="1">
      <alignment/>
    </xf>
    <xf numFmtId="3" fontId="4" fillId="34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3" fontId="4" fillId="35" borderId="11" xfId="0" applyNumberFormat="1" applyFont="1" applyFill="1" applyBorder="1" applyAlignment="1">
      <alignment horizontal="center"/>
    </xf>
    <xf numFmtId="3" fontId="0" fillId="33" borderId="12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3" fontId="4" fillId="35" borderId="19" xfId="0" applyNumberFormat="1" applyFont="1" applyFill="1" applyBorder="1" applyAlignment="1">
      <alignment horizontal="center"/>
    </xf>
    <xf numFmtId="164" fontId="0" fillId="33" borderId="20" xfId="59" applyNumberFormat="1" applyFon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9" fontId="0" fillId="34" borderId="11" xfId="59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0" fillId="35" borderId="16" xfId="0" applyNumberFormat="1" applyFont="1" applyFill="1" applyBorder="1" applyAlignment="1">
      <alignment/>
    </xf>
    <xf numFmtId="3" fontId="0" fillId="36" borderId="16" xfId="0" applyNumberFormat="1" applyFont="1" applyFill="1" applyBorder="1" applyAlignment="1">
      <alignment/>
    </xf>
    <xf numFmtId="164" fontId="2" fillId="33" borderId="17" xfId="59" applyNumberFormat="1" applyFont="1" applyFill="1" applyBorder="1" applyAlignment="1">
      <alignment/>
    </xf>
    <xf numFmtId="164" fontId="2" fillId="33" borderId="12" xfId="59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9" fontId="0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4" fillId="34" borderId="18" xfId="0" applyNumberFormat="1" applyFont="1" applyFill="1" applyBorder="1" applyAlignment="1">
      <alignment horizontal="center"/>
    </xf>
    <xf numFmtId="3" fontId="4" fillId="34" borderId="2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3" fontId="0" fillId="34" borderId="13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9" fontId="0" fillId="34" borderId="13" xfId="59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3" fontId="4" fillId="35" borderId="18" xfId="0" applyNumberFormat="1" applyFont="1" applyFill="1" applyBorder="1" applyAlignment="1">
      <alignment horizontal="center"/>
    </xf>
    <xf numFmtId="3" fontId="4" fillId="35" borderId="20" xfId="0" applyNumberFormat="1" applyFont="1" applyFill="1" applyBorder="1" applyAlignment="1">
      <alignment horizontal="center"/>
    </xf>
    <xf numFmtId="3" fontId="4" fillId="35" borderId="10" xfId="0" applyNumberFormat="1" applyFont="1" applyFill="1" applyBorder="1" applyAlignment="1">
      <alignment horizontal="center"/>
    </xf>
    <xf numFmtId="3" fontId="4" fillId="35" borderId="12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0" fillId="35" borderId="17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3" fontId="2" fillId="35" borderId="14" xfId="0" applyNumberFormat="1" applyFont="1" applyFill="1" applyBorder="1" applyAlignment="1">
      <alignment/>
    </xf>
    <xf numFmtId="3" fontId="2" fillId="35" borderId="15" xfId="0" applyNumberFormat="1" applyFont="1" applyFill="1" applyBorder="1" applyAlignment="1">
      <alignment/>
    </xf>
    <xf numFmtId="3" fontId="2" fillId="35" borderId="17" xfId="0" applyNumberFormat="1" applyFont="1" applyFill="1" applyBorder="1" applyAlignment="1">
      <alignment/>
    </xf>
    <xf numFmtId="3" fontId="4" fillId="36" borderId="18" xfId="0" applyNumberFormat="1" applyFont="1" applyFill="1" applyBorder="1" applyAlignment="1">
      <alignment/>
    </xf>
    <xf numFmtId="3" fontId="4" fillId="36" borderId="20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3" fontId="4" fillId="36" borderId="12" xfId="0" applyNumberFormat="1" applyFont="1" applyFill="1" applyBorder="1" applyAlignment="1">
      <alignment/>
    </xf>
    <xf numFmtId="3" fontId="0" fillId="36" borderId="13" xfId="0" applyNumberFormat="1" applyFont="1" applyFill="1" applyBorder="1" applyAlignment="1">
      <alignment/>
    </xf>
    <xf numFmtId="3" fontId="0" fillId="36" borderId="14" xfId="0" applyNumberFormat="1" applyFont="1" applyFill="1" applyBorder="1" applyAlignment="1">
      <alignment/>
    </xf>
    <xf numFmtId="3" fontId="0" fillId="36" borderId="15" xfId="0" applyNumberFormat="1" applyFont="1" applyFill="1" applyBorder="1" applyAlignment="1">
      <alignment/>
    </xf>
    <xf numFmtId="3" fontId="0" fillId="36" borderId="17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0" fillId="36" borderId="12" xfId="0" applyNumberFormat="1" applyFont="1" applyFill="1" applyBorder="1" applyAlignment="1">
      <alignment/>
    </xf>
    <xf numFmtId="3" fontId="2" fillId="36" borderId="13" xfId="0" applyNumberFormat="1" applyFont="1" applyFill="1" applyBorder="1" applyAlignment="1">
      <alignment/>
    </xf>
    <xf numFmtId="3" fontId="2" fillId="36" borderId="14" xfId="0" applyNumberFormat="1" applyFont="1" applyFill="1" applyBorder="1" applyAlignment="1">
      <alignment/>
    </xf>
    <xf numFmtId="3" fontId="2" fillId="37" borderId="15" xfId="0" applyNumberFormat="1" applyFont="1" applyFill="1" applyBorder="1" applyAlignment="1">
      <alignment/>
    </xf>
    <xf numFmtId="3" fontId="2" fillId="37" borderId="17" xfId="0" applyNumberFormat="1" applyFont="1" applyFill="1" applyBorder="1" applyAlignment="1">
      <alignment/>
    </xf>
    <xf numFmtId="3" fontId="4" fillId="38" borderId="18" xfId="0" applyNumberFormat="1" applyFont="1" applyFill="1" applyBorder="1" applyAlignment="1">
      <alignment/>
    </xf>
    <xf numFmtId="3" fontId="4" fillId="38" borderId="2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3" fontId="0" fillId="38" borderId="13" xfId="0" applyNumberFormat="1" applyFont="1" applyFill="1" applyBorder="1" applyAlignment="1">
      <alignment/>
    </xf>
    <xf numFmtId="3" fontId="0" fillId="38" borderId="14" xfId="0" applyNumberFormat="1" applyFont="1" applyFill="1" applyBorder="1" applyAlignment="1">
      <alignment/>
    </xf>
    <xf numFmtId="3" fontId="0" fillId="38" borderId="15" xfId="0" applyNumberFormat="1" applyFont="1" applyFill="1" applyBorder="1" applyAlignment="1">
      <alignment/>
    </xf>
    <xf numFmtId="3" fontId="0" fillId="38" borderId="17" xfId="0" applyNumberFormat="1" applyFont="1" applyFill="1" applyBorder="1" applyAlignment="1">
      <alignment/>
    </xf>
    <xf numFmtId="3" fontId="0" fillId="38" borderId="10" xfId="0" applyNumberFormat="1" applyFont="1" applyFill="1" applyBorder="1" applyAlignment="1">
      <alignment/>
    </xf>
    <xf numFmtId="3" fontId="0" fillId="38" borderId="12" xfId="0" applyNumberFormat="1" applyFont="1" applyFill="1" applyBorder="1" applyAlignment="1">
      <alignment/>
    </xf>
    <xf numFmtId="3" fontId="2" fillId="38" borderId="13" xfId="0" applyNumberFormat="1" applyFont="1" applyFill="1" applyBorder="1" applyAlignment="1">
      <alignment/>
    </xf>
    <xf numFmtId="3" fontId="2" fillId="38" borderId="14" xfId="0" applyNumberFormat="1" applyFont="1" applyFill="1" applyBorder="1" applyAlignment="1">
      <alignment/>
    </xf>
    <xf numFmtId="3" fontId="2" fillId="38" borderId="15" xfId="0" applyNumberFormat="1" applyFont="1" applyFill="1" applyBorder="1" applyAlignment="1">
      <alignment/>
    </xf>
    <xf numFmtId="3" fontId="2" fillId="38" borderId="17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59" applyNumberFormat="1" applyFont="1" applyFill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59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3" fontId="2" fillId="36" borderId="15" xfId="0" applyNumberFormat="1" applyFont="1" applyFill="1" applyBorder="1" applyAlignment="1">
      <alignment/>
    </xf>
    <xf numFmtId="3" fontId="2" fillId="36" borderId="16" xfId="0" applyNumberFormat="1" applyFont="1" applyFill="1" applyBorder="1" applyAlignment="1">
      <alignment/>
    </xf>
    <xf numFmtId="3" fontId="2" fillId="36" borderId="18" xfId="0" applyNumberFormat="1" applyFont="1" applyFill="1" applyBorder="1" applyAlignment="1">
      <alignment/>
    </xf>
    <xf numFmtId="3" fontId="2" fillId="36" borderId="19" xfId="0" applyNumberFormat="1" applyFont="1" applyFill="1" applyBorder="1" applyAlignment="1">
      <alignment/>
    </xf>
    <xf numFmtId="3" fontId="0" fillId="36" borderId="19" xfId="0" applyNumberFormat="1" applyFont="1" applyFill="1" applyBorder="1" applyAlignment="1">
      <alignment/>
    </xf>
    <xf numFmtId="3" fontId="2" fillId="36" borderId="20" xfId="0" applyNumberFormat="1" applyFont="1" applyFill="1" applyBorder="1" applyAlignment="1">
      <alignment/>
    </xf>
    <xf numFmtId="9" fontId="0" fillId="0" borderId="19" xfId="59" applyFont="1" applyBorder="1" applyAlignment="1">
      <alignment/>
    </xf>
    <xf numFmtId="3" fontId="0" fillId="39" borderId="14" xfId="0" applyNumberFormat="1" applyFont="1" applyFill="1" applyBorder="1" applyAlignment="1">
      <alignment/>
    </xf>
    <xf numFmtId="4" fontId="0" fillId="39" borderId="16" xfId="0" applyNumberFormat="1" applyFont="1" applyFill="1" applyBorder="1" applyAlignment="1">
      <alignment/>
    </xf>
    <xf numFmtId="3" fontId="0" fillId="0" borderId="0" xfId="59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9" fontId="0" fillId="0" borderId="16" xfId="59" applyFont="1" applyBorder="1" applyAlignment="1">
      <alignment/>
    </xf>
    <xf numFmtId="16" fontId="0" fillId="0" borderId="0" xfId="0" applyNumberFormat="1" applyFont="1" applyAlignment="1">
      <alignment/>
    </xf>
    <xf numFmtId="4" fontId="2" fillId="36" borderId="19" xfId="0" applyNumberFormat="1" applyFont="1" applyFill="1" applyBorder="1" applyAlignment="1">
      <alignment/>
    </xf>
    <xf numFmtId="4" fontId="2" fillId="36" borderId="16" xfId="0" applyNumberFormat="1" applyFont="1" applyFill="1" applyBorder="1" applyAlignment="1">
      <alignment/>
    </xf>
    <xf numFmtId="4" fontId="2" fillId="36" borderId="20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10" fontId="0" fillId="0" borderId="0" xfId="59" applyNumberFormat="1" applyFont="1" applyFill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39" borderId="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66" fontId="0" fillId="39" borderId="14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zoomScalePageLayoutView="0" workbookViewId="0" topLeftCell="A32">
      <selection activeCell="B46" sqref="B46"/>
    </sheetView>
  </sheetViews>
  <sheetFormatPr defaultColWidth="11.421875" defaultRowHeight="12.75"/>
  <cols>
    <col min="1" max="1" width="20.421875" style="4" customWidth="1"/>
    <col min="2" max="2" width="12.140625" style="4" customWidth="1"/>
    <col min="3" max="3" width="10.8515625" style="4" customWidth="1"/>
    <col min="4" max="4" width="12.8515625" style="4" customWidth="1"/>
    <col min="5" max="5" width="13.28125" style="4" bestFit="1" customWidth="1"/>
    <col min="6" max="6" width="11.7109375" style="24" hidden="1" customWidth="1"/>
    <col min="7" max="7" width="11.57421875" style="4" hidden="1" customWidth="1"/>
    <col min="8" max="8" width="11.57421875" style="4" customWidth="1"/>
    <col min="9" max="9" width="11.140625" style="4" customWidth="1"/>
    <col min="10" max="10" width="10.140625" style="4" customWidth="1"/>
    <col min="11" max="11" width="12.140625" style="4" bestFit="1" customWidth="1"/>
    <col min="12" max="12" width="10.140625" style="4" hidden="1" customWidth="1"/>
    <col min="13" max="13" width="12.140625" style="4" hidden="1" customWidth="1"/>
    <col min="14" max="14" width="10.28125" style="4" hidden="1" customWidth="1"/>
    <col min="15" max="15" width="10.8515625" style="4" hidden="1" customWidth="1"/>
    <col min="16" max="16" width="7.8515625" style="32" customWidth="1"/>
    <col min="17" max="17" width="14.421875" style="4" customWidth="1"/>
    <col min="18" max="18" width="13.7109375" style="4" customWidth="1"/>
    <col min="19" max="20" width="11.421875" style="4" customWidth="1"/>
    <col min="21" max="21" width="10.8515625" style="4" customWidth="1"/>
    <col min="22" max="23" width="6.7109375" style="4" bestFit="1" customWidth="1"/>
    <col min="24" max="24" width="8.421875" style="4" bestFit="1" customWidth="1"/>
    <col min="25" max="25" width="12.28125" style="4" bestFit="1" customWidth="1"/>
    <col min="26" max="26" width="10.8515625" style="4" bestFit="1" customWidth="1"/>
    <col min="27" max="27" width="13.8515625" style="4" bestFit="1" customWidth="1"/>
    <col min="28" max="28" width="11.00390625" style="4" customWidth="1"/>
    <col min="29" max="29" width="13.00390625" style="4" bestFit="1" customWidth="1"/>
    <col min="30" max="30" width="12.28125" style="4" bestFit="1" customWidth="1"/>
    <col min="31" max="31" width="13.140625" style="4" bestFit="1" customWidth="1"/>
    <col min="32" max="32" width="12.8515625" style="4" bestFit="1" customWidth="1"/>
    <col min="33" max="33" width="16.57421875" style="4" bestFit="1" customWidth="1"/>
    <col min="34" max="34" width="12.00390625" style="4" customWidth="1"/>
    <col min="35" max="35" width="11.57421875" style="4" bestFit="1" customWidth="1"/>
    <col min="36" max="36" width="13.7109375" style="4" bestFit="1" customWidth="1"/>
    <col min="37" max="37" width="12.28125" style="4" customWidth="1"/>
    <col min="38" max="38" width="12.7109375" style="4" bestFit="1" customWidth="1"/>
    <col min="39" max="39" width="10.8515625" style="4" bestFit="1" customWidth="1"/>
    <col min="40" max="40" width="11.28125" style="4" bestFit="1" customWidth="1"/>
    <col min="41" max="41" width="13.00390625" style="4" bestFit="1" customWidth="1"/>
    <col min="42" max="42" width="14.421875" style="4" bestFit="1" customWidth="1"/>
    <col min="43" max="43" width="12.421875" style="4" bestFit="1" customWidth="1"/>
    <col min="44" max="44" width="11.57421875" style="4" bestFit="1" customWidth="1"/>
    <col min="45" max="45" width="12.00390625" style="4" bestFit="1" customWidth="1"/>
    <col min="46" max="46" width="12.28125" style="4" bestFit="1" customWidth="1"/>
    <col min="47" max="47" width="13.7109375" style="4" customWidth="1"/>
    <col min="48" max="48" width="10.57421875" style="4" bestFit="1" customWidth="1"/>
    <col min="49" max="49" width="10.57421875" style="4" customWidth="1"/>
    <col min="50" max="50" width="12.28125" style="4" customWidth="1"/>
    <col min="51" max="51" width="11.28125" style="4" customWidth="1"/>
    <col min="52" max="52" width="11.57421875" style="4" customWidth="1"/>
    <col min="53" max="53" width="12.00390625" style="4" customWidth="1"/>
    <col min="54" max="54" width="11.57421875" style="4" customWidth="1"/>
    <col min="55" max="56" width="12.140625" style="4" customWidth="1"/>
    <col min="57" max="57" width="10.8515625" style="4" customWidth="1"/>
    <col min="58" max="58" width="11.57421875" style="4" customWidth="1"/>
    <col min="59" max="60" width="13.57421875" style="4" bestFit="1" customWidth="1"/>
    <col min="61" max="61" width="17.28125" style="4" customWidth="1"/>
    <col min="62" max="62" width="13.57421875" style="4" bestFit="1" customWidth="1"/>
    <col min="63" max="63" width="17.28125" style="4" customWidth="1"/>
    <col min="64" max="64" width="11.421875" style="4" customWidth="1"/>
    <col min="65" max="65" width="12.421875" style="4" customWidth="1"/>
    <col min="66" max="73" width="11.421875" style="4" customWidth="1"/>
    <col min="74" max="100" width="0" style="4" hidden="1" customWidth="1"/>
    <col min="101" max="101" width="12.57421875" style="4" hidden="1" customWidth="1"/>
    <col min="102" max="128" width="0" style="4" hidden="1" customWidth="1"/>
    <col min="129" max="130" width="12.7109375" style="4" hidden="1" customWidth="1"/>
    <col min="131" max="134" width="0" style="4" hidden="1" customWidth="1"/>
    <col min="135" max="135" width="12.57421875" style="4" hidden="1" customWidth="1"/>
    <col min="136" max="137" width="0" style="4" hidden="1" customWidth="1"/>
    <col min="138" max="138" width="12.00390625" style="4" hidden="1" customWidth="1"/>
    <col min="139" max="140" width="0" style="4" hidden="1" customWidth="1"/>
    <col min="141" max="141" width="12.7109375" style="4" hidden="1" customWidth="1"/>
    <col min="142" max="143" width="0" style="4" hidden="1" customWidth="1"/>
    <col min="144" max="144" width="12.7109375" style="4" hidden="1" customWidth="1"/>
    <col min="145" max="146" width="0" style="4" hidden="1" customWidth="1"/>
    <col min="147" max="147" width="13.28125" style="4" hidden="1" customWidth="1"/>
    <col min="148" max="152" width="0" style="4" hidden="1" customWidth="1"/>
    <col min="153" max="153" width="13.421875" style="4" hidden="1" customWidth="1"/>
    <col min="154" max="155" width="0" style="4" hidden="1" customWidth="1"/>
    <col min="156" max="156" width="14.7109375" style="4" customWidth="1"/>
    <col min="157" max="157" width="14.00390625" style="4" customWidth="1"/>
    <col min="158" max="158" width="11.421875" style="4" customWidth="1"/>
    <col min="159" max="159" width="13.421875" style="4" customWidth="1"/>
    <col min="160" max="160" width="13.57421875" style="4" bestFit="1" customWidth="1"/>
    <col min="161" max="16384" width="11.421875" style="4" customWidth="1"/>
  </cols>
  <sheetData>
    <row r="1" spans="1:16" ht="13.5" thickBot="1">
      <c r="A1" s="85" t="s">
        <v>257</v>
      </c>
      <c r="B1" s="83"/>
      <c r="C1" s="83"/>
      <c r="D1" s="83"/>
      <c r="E1" s="83"/>
      <c r="F1" s="82"/>
      <c r="G1" s="83"/>
      <c r="H1" s="83"/>
      <c r="I1" s="86"/>
      <c r="J1" s="83"/>
      <c r="K1" s="87"/>
      <c r="L1" s="2"/>
      <c r="M1" s="2"/>
      <c r="N1" s="2"/>
      <c r="O1" s="2"/>
      <c r="P1" s="3"/>
    </row>
    <row r="2" spans="1:17" ht="12.75">
      <c r="A2" s="53" t="s">
        <v>238</v>
      </c>
      <c r="B2" s="6"/>
      <c r="C2" s="6"/>
      <c r="D2" s="6"/>
      <c r="E2" s="6"/>
      <c r="F2" s="22"/>
      <c r="G2" s="6"/>
      <c r="H2" s="6" t="s">
        <v>254</v>
      </c>
      <c r="I2" s="6" t="s">
        <v>239</v>
      </c>
      <c r="J2" s="6" t="s">
        <v>240</v>
      </c>
      <c r="K2" s="67" t="s">
        <v>241</v>
      </c>
      <c r="M2" s="6"/>
      <c r="N2" s="6"/>
      <c r="O2" s="6"/>
      <c r="P2" s="8"/>
      <c r="Q2" s="77"/>
    </row>
    <row r="3" spans="1:16" ht="12.75">
      <c r="A3" s="53" t="s">
        <v>2</v>
      </c>
      <c r="B3" s="204">
        <f>110000*B50</f>
        <v>275627.2068</v>
      </c>
      <c r="C3" s="6">
        <v>11</v>
      </c>
      <c r="D3" s="6">
        <f>C3*B3</f>
        <v>3031899.2748</v>
      </c>
      <c r="E3" s="6"/>
      <c r="F3" s="22"/>
      <c r="G3" s="6"/>
      <c r="H3" s="9">
        <f>'Costos Km'!L77</f>
        <v>1.4565490615115322</v>
      </c>
      <c r="I3" s="204">
        <f>3*4.33*126</f>
        <v>1636.74</v>
      </c>
      <c r="J3" s="6">
        <f>H3*I3</f>
        <v>2383.9921109383854</v>
      </c>
      <c r="K3" s="67">
        <f>J3*C3</f>
        <v>26223.91322032224</v>
      </c>
      <c r="M3" s="6"/>
      <c r="N3" s="6"/>
      <c r="O3" s="6"/>
      <c r="P3" s="8"/>
    </row>
    <row r="4" spans="1:16" ht="13.5" thickBot="1">
      <c r="A4" s="53" t="s">
        <v>4</v>
      </c>
      <c r="B4" s="204">
        <f>25000*B50</f>
        <v>62642.54699999999</v>
      </c>
      <c r="C4" s="6">
        <v>11</v>
      </c>
      <c r="D4" s="6">
        <f>C4*B4</f>
        <v>689068.0169999999</v>
      </c>
      <c r="E4" s="6"/>
      <c r="F4" s="22"/>
      <c r="G4" s="6"/>
      <c r="H4" s="9">
        <f>'Costos Km'!L101</f>
        <v>0.17978747078943746</v>
      </c>
      <c r="I4" s="204">
        <f>I3</f>
        <v>1636.74</v>
      </c>
      <c r="J4" s="6">
        <f>H4*I4</f>
        <v>294.26534493990385</v>
      </c>
      <c r="K4" s="67">
        <f>J4*C4</f>
        <v>3236.9187943389425</v>
      </c>
      <c r="M4" s="6"/>
      <c r="N4" s="6"/>
      <c r="O4" s="6"/>
      <c r="P4" s="8"/>
    </row>
    <row r="5" spans="1:16" ht="12.75" hidden="1">
      <c r="A5" s="53" t="s">
        <v>290</v>
      </c>
      <c r="B5" s="6">
        <v>0</v>
      </c>
      <c r="C5" s="10">
        <v>0</v>
      </c>
      <c r="D5" s="6">
        <f>C5*B5</f>
        <v>0</v>
      </c>
      <c r="E5" s="6"/>
      <c r="F5" s="22"/>
      <c r="G5" s="6"/>
      <c r="H5" s="9">
        <f>'Costos Km'!L177</f>
        <v>1.432217675100947</v>
      </c>
      <c r="I5" s="6">
        <f>I4</f>
        <v>1636.74</v>
      </c>
      <c r="J5" s="6">
        <f>H5*I5</f>
        <v>2344.167957544724</v>
      </c>
      <c r="K5" s="67">
        <f>J5*C5</f>
        <v>0</v>
      </c>
      <c r="M5" s="6"/>
      <c r="N5" s="6"/>
      <c r="O5" s="6"/>
      <c r="P5" s="8"/>
    </row>
    <row r="6" spans="1:16" ht="13.5" hidden="1" thickBot="1">
      <c r="A6" s="53" t="s">
        <v>287</v>
      </c>
      <c r="B6" s="6">
        <v>0</v>
      </c>
      <c r="C6" s="11">
        <v>0</v>
      </c>
      <c r="D6" s="6">
        <f>C6*B6</f>
        <v>0</v>
      </c>
      <c r="E6" s="6"/>
      <c r="F6" s="22"/>
      <c r="G6" s="6"/>
      <c r="H6" s="9">
        <f>'Costos Km'!L256</f>
        <v>1.1863336543951357</v>
      </c>
      <c r="I6" s="6">
        <f>I5</f>
        <v>1636.74</v>
      </c>
      <c r="J6" s="6">
        <f>H6*I6</f>
        <v>1941.7197454946945</v>
      </c>
      <c r="K6" s="67">
        <f>J6*C6</f>
        <v>0</v>
      </c>
      <c r="M6" s="6"/>
      <c r="N6" s="6"/>
      <c r="O6" s="6"/>
      <c r="P6" s="8"/>
    </row>
    <row r="7" spans="1:16" ht="13.5" thickBot="1">
      <c r="A7" s="81" t="s">
        <v>9</v>
      </c>
      <c r="B7" s="82"/>
      <c r="C7" s="82"/>
      <c r="D7" s="82">
        <f>((C3*B3)+(C4*B4)+(C5*B5)+(C6*B6))</f>
        <v>3720967.2918</v>
      </c>
      <c r="E7" s="82"/>
      <c r="F7" s="83"/>
      <c r="G7" s="83"/>
      <c r="H7" s="83"/>
      <c r="I7" s="83"/>
      <c r="J7" s="83"/>
      <c r="K7" s="84">
        <f>SUM(K3:K6)</f>
        <v>29460.83201466118</v>
      </c>
      <c r="M7" s="9"/>
      <c r="N7" s="9"/>
      <c r="O7" s="9"/>
      <c r="P7" s="8"/>
    </row>
    <row r="8" spans="5:16" ht="13.5" thickBot="1">
      <c r="E8" s="24"/>
      <c r="F8" s="4"/>
      <c r="I8" s="6"/>
      <c r="M8" s="9"/>
      <c r="N8" s="9"/>
      <c r="O8" s="9"/>
      <c r="P8" s="8"/>
    </row>
    <row r="9" spans="1:16" ht="12.75">
      <c r="A9" s="1" t="s">
        <v>11</v>
      </c>
      <c r="B9" s="88">
        <v>0.06</v>
      </c>
      <c r="C9" s="2"/>
      <c r="D9" s="2"/>
      <c r="E9" s="2"/>
      <c r="F9" s="79"/>
      <c r="G9" s="2"/>
      <c r="H9" s="2"/>
      <c r="I9" s="2" t="s">
        <v>12</v>
      </c>
      <c r="J9" s="2"/>
      <c r="K9" s="71">
        <f>65*B50</f>
        <v>162.87062219999999</v>
      </c>
      <c r="M9" s="9"/>
      <c r="N9" s="9"/>
      <c r="O9" s="9"/>
      <c r="P9" s="8"/>
    </row>
    <row r="10" spans="1:16" ht="12.75">
      <c r="A10" s="5" t="s">
        <v>14</v>
      </c>
      <c r="B10" s="6">
        <v>0</v>
      </c>
      <c r="C10" s="6"/>
      <c r="D10" s="6"/>
      <c r="E10" s="6"/>
      <c r="F10" s="22"/>
      <c r="G10" s="6"/>
      <c r="H10" s="6"/>
      <c r="I10" s="6" t="s">
        <v>43</v>
      </c>
      <c r="J10" s="6"/>
      <c r="K10" s="89">
        <v>1.4</v>
      </c>
      <c r="M10" s="9">
        <v>1.0787965616045845</v>
      </c>
      <c r="N10" s="9" t="s">
        <v>293</v>
      </c>
      <c r="O10" s="9"/>
      <c r="P10" s="8"/>
    </row>
    <row r="11" spans="1:16" ht="12.75">
      <c r="A11" s="5" t="s">
        <v>16</v>
      </c>
      <c r="B11" s="6">
        <v>7</v>
      </c>
      <c r="C11" s="6"/>
      <c r="D11" s="6"/>
      <c r="E11" s="6"/>
      <c r="F11" s="22"/>
      <c r="G11" s="6"/>
      <c r="H11" s="6"/>
      <c r="I11" s="6" t="s">
        <v>7</v>
      </c>
      <c r="J11" s="6"/>
      <c r="K11" s="191">
        <f>3*4.33</f>
        <v>12.99</v>
      </c>
      <c r="M11" s="9">
        <f>1.124+0.02</f>
        <v>1.1440000000000001</v>
      </c>
      <c r="N11" s="9" t="s">
        <v>294</v>
      </c>
      <c r="O11" s="9"/>
      <c r="P11" s="8"/>
    </row>
    <row r="12" spans="1:16" ht="12.75">
      <c r="A12" s="5" t="s">
        <v>18</v>
      </c>
      <c r="B12" s="12">
        <v>0.3</v>
      </c>
      <c r="C12" s="6" t="s">
        <v>295</v>
      </c>
      <c r="D12" s="6" t="s">
        <v>296</v>
      </c>
      <c r="E12" s="9">
        <v>139.7</v>
      </c>
      <c r="F12" s="22"/>
      <c r="G12" s="6"/>
      <c r="H12" s="6"/>
      <c r="I12" s="6" t="s">
        <v>17</v>
      </c>
      <c r="J12" s="6"/>
      <c r="K12" s="202">
        <f>+B51</f>
        <v>4.3</v>
      </c>
      <c r="M12" s="9"/>
      <c r="N12" s="9"/>
      <c r="O12" s="9"/>
      <c r="P12" s="8"/>
    </row>
    <row r="13" spans="1:16" ht="12.75">
      <c r="A13" s="5" t="s">
        <v>255</v>
      </c>
      <c r="B13" s="14">
        <v>0.24</v>
      </c>
      <c r="C13" s="6"/>
      <c r="D13" s="6" t="s">
        <v>297</v>
      </c>
      <c r="E13" s="9">
        <v>169.3</v>
      </c>
      <c r="F13" s="22"/>
      <c r="G13" s="6"/>
      <c r="H13" s="6"/>
      <c r="I13" s="6" t="s">
        <v>13</v>
      </c>
      <c r="J13" s="6"/>
      <c r="K13" s="203">
        <f>((1064)+(65*0.25*22))</f>
        <v>1421.5</v>
      </c>
      <c r="M13" s="9">
        <v>1.22</v>
      </c>
      <c r="N13" s="12" t="s">
        <v>23</v>
      </c>
      <c r="O13" s="12"/>
      <c r="P13" s="8"/>
    </row>
    <row r="14" spans="1:16" ht="13.5" thickBot="1">
      <c r="A14" s="69" t="str">
        <f>A50</f>
        <v>Inflacion-Accum</v>
      </c>
      <c r="B14" s="205">
        <f>+M13*1.23*1.21</f>
        <v>1.815726</v>
      </c>
      <c r="C14" s="29"/>
      <c r="D14" s="29" t="s">
        <v>298</v>
      </c>
      <c r="E14" s="195">
        <f>(E13/E12)-1</f>
        <v>0.2118826055833931</v>
      </c>
      <c r="F14" s="80"/>
      <c r="G14" s="29"/>
      <c r="H14" s="29"/>
      <c r="I14" s="29" t="str">
        <f>A53</f>
        <v>Combustible Bs</v>
      </c>
      <c r="J14" s="29"/>
      <c r="K14" s="90">
        <f>B53</f>
        <v>0.052</v>
      </c>
      <c r="L14" s="6"/>
      <c r="M14" s="6"/>
      <c r="N14" s="12"/>
      <c r="O14" s="12"/>
      <c r="P14" s="8"/>
    </row>
    <row r="15" spans="1:16" ht="13.5" thickBot="1">
      <c r="A15" s="5"/>
      <c r="B15" s="6"/>
      <c r="C15" s="6"/>
      <c r="D15" s="6"/>
      <c r="E15" s="6"/>
      <c r="F15" s="22"/>
      <c r="H15" s="6"/>
      <c r="I15" s="6"/>
      <c r="J15" s="6"/>
      <c r="K15" s="6"/>
      <c r="L15" s="6"/>
      <c r="M15" s="6"/>
      <c r="N15" s="6"/>
      <c r="O15" s="12"/>
      <c r="P15" s="15"/>
    </row>
    <row r="16" spans="1:18" ht="13.5" thickBot="1">
      <c r="A16" s="98" t="s">
        <v>19</v>
      </c>
      <c r="B16" s="115"/>
      <c r="C16" s="120" t="s">
        <v>20</v>
      </c>
      <c r="D16" s="99" t="s">
        <v>21</v>
      </c>
      <c r="E16" s="121" t="s">
        <v>22</v>
      </c>
      <c r="F16" s="99" t="s">
        <v>23</v>
      </c>
      <c r="G16" s="100" t="s">
        <v>24</v>
      </c>
      <c r="H16" s="134" t="s">
        <v>25</v>
      </c>
      <c r="I16" s="101" t="s">
        <v>26</v>
      </c>
      <c r="J16" s="101" t="s">
        <v>27</v>
      </c>
      <c r="K16" s="135" t="s">
        <v>28</v>
      </c>
      <c r="L16" s="148" t="s">
        <v>29</v>
      </c>
      <c r="M16" s="149" t="s">
        <v>30</v>
      </c>
      <c r="N16" s="162" t="s">
        <v>288</v>
      </c>
      <c r="O16" s="163" t="s">
        <v>289</v>
      </c>
      <c r="P16" s="102"/>
      <c r="Q16" s="98" t="s">
        <v>19</v>
      </c>
      <c r="R16" s="103"/>
    </row>
    <row r="17" spans="1:18" ht="12.75">
      <c r="A17" s="110" t="s">
        <v>31</v>
      </c>
      <c r="B17" s="116"/>
      <c r="C17" s="122"/>
      <c r="D17" s="91"/>
      <c r="E17" s="123"/>
      <c r="F17" s="91"/>
      <c r="G17" s="92"/>
      <c r="H17" s="136"/>
      <c r="I17" s="93"/>
      <c r="J17" s="93"/>
      <c r="K17" s="137"/>
      <c r="L17" s="150"/>
      <c r="M17" s="151"/>
      <c r="N17" s="164"/>
      <c r="O17" s="165"/>
      <c r="P17" s="3"/>
      <c r="Q17" s="110" t="s">
        <v>31</v>
      </c>
      <c r="R17" s="94"/>
    </row>
    <row r="18" spans="1:18" ht="12.75">
      <c r="A18" s="17" t="s">
        <v>274</v>
      </c>
      <c r="B18" s="95"/>
      <c r="C18" s="124">
        <f>H18*$C$3+J18*$C$4+L18*$C$5+N18*$C$6</f>
        <v>71220.92179042503</v>
      </c>
      <c r="D18" s="18"/>
      <c r="E18" s="125">
        <f>C18+D18</f>
        <v>71220.92179042503</v>
      </c>
      <c r="F18" s="19">
        <f>C18</f>
        <v>71220.92179042503</v>
      </c>
      <c r="G18" s="6">
        <f>(($C$3*H18)+($C$4*J18)+($C$5*L18)+($C$6*N18))</f>
        <v>71220.92179042503</v>
      </c>
      <c r="H18" s="138">
        <f>'Intereses Inversion Usados'!C90</f>
        <v>4901.048473035007</v>
      </c>
      <c r="I18" s="20"/>
      <c r="J18" s="20">
        <f>'Intereses Inversion Usados'!F90</f>
        <v>1573.5807806399953</v>
      </c>
      <c r="K18" s="139"/>
      <c r="L18" s="152">
        <f>'Intereses Inversion Usados'!I90</f>
        <v>3081.5956954200033</v>
      </c>
      <c r="M18" s="153"/>
      <c r="N18" s="166">
        <f>'Intereses Inversion Usados'!L90</f>
        <v>1966.975975799996</v>
      </c>
      <c r="O18" s="167"/>
      <c r="P18" s="21">
        <f>E18/$F$40</f>
        <v>0.16626737912195277</v>
      </c>
      <c r="Q18" s="17" t="s">
        <v>32</v>
      </c>
      <c r="R18" s="95"/>
    </row>
    <row r="19" spans="1:18" ht="12.75">
      <c r="A19" s="17" t="s">
        <v>33</v>
      </c>
      <c r="B19" s="95"/>
      <c r="C19" s="124">
        <f>((D7)*$B$9)/12</f>
        <v>18604.836459</v>
      </c>
      <c r="D19" s="18"/>
      <c r="E19" s="125">
        <f aca="true" t="shared" si="0" ref="E19:E40">C19+D19</f>
        <v>18604.836459</v>
      </c>
      <c r="F19" s="19">
        <f>F18+C19+D19</f>
        <v>89825.75824942502</v>
      </c>
      <c r="G19" s="6">
        <f>(($C$3*H19)+($C$4*J19)+($C$5*L19)+($C$6*N19))</f>
        <v>18604.836459</v>
      </c>
      <c r="H19" s="138">
        <f>((B3)*$B$9)/12</f>
        <v>1378.1360339999999</v>
      </c>
      <c r="I19" s="20"/>
      <c r="J19" s="20">
        <f>((B4)*$B$9)/12</f>
        <v>313.21273499999995</v>
      </c>
      <c r="K19" s="139"/>
      <c r="L19" s="152">
        <f>((B5)*$B$9)/12</f>
        <v>0</v>
      </c>
      <c r="M19" s="153"/>
      <c r="N19" s="166">
        <f>((B6)*$B$9)/12</f>
        <v>0</v>
      </c>
      <c r="O19" s="167"/>
      <c r="P19" s="21">
        <f>E19/$F$40</f>
        <v>0.043433549008717785</v>
      </c>
      <c r="Q19" s="17" t="s">
        <v>33</v>
      </c>
      <c r="R19" s="95"/>
    </row>
    <row r="20" spans="1:18" ht="12.75">
      <c r="A20" s="17" t="s">
        <v>277</v>
      </c>
      <c r="B20" s="95"/>
      <c r="C20" s="124">
        <f>(H20*C3)+J20*C4+L20*C5+N20*C6</f>
        <v>2200</v>
      </c>
      <c r="D20" s="18"/>
      <c r="E20" s="125">
        <f t="shared" si="0"/>
        <v>2200</v>
      </c>
      <c r="F20" s="19">
        <f aca="true" t="shared" si="1" ref="F20:F34">F19+C20+D20</f>
        <v>92025.75824942502</v>
      </c>
      <c r="G20" s="6">
        <f>(($C$3*H20)+($C$4*J20)+($C$5*L20)+($C$6*N20))</f>
        <v>2200</v>
      </c>
      <c r="H20" s="138">
        <f>8000*B13/12</f>
        <v>160</v>
      </c>
      <c r="I20" s="20"/>
      <c r="J20" s="20">
        <f>2000*B13/12</f>
        <v>40</v>
      </c>
      <c r="K20" s="139"/>
      <c r="L20" s="152">
        <f>6000*B13/12</f>
        <v>120</v>
      </c>
      <c r="M20" s="153"/>
      <c r="N20" s="166">
        <f>5000*B13/12</f>
        <v>100</v>
      </c>
      <c r="O20" s="167"/>
      <c r="P20" s="21">
        <f>E20/$F$40</f>
        <v>0.005135966017747791</v>
      </c>
      <c r="Q20" s="17" t="s">
        <v>34</v>
      </c>
      <c r="R20" s="95"/>
    </row>
    <row r="21" spans="1:18" ht="12.75">
      <c r="A21" s="17" t="s">
        <v>276</v>
      </c>
      <c r="B21" s="95"/>
      <c r="C21" s="124">
        <f>(D7*0.05)/12</f>
        <v>15504.030382500001</v>
      </c>
      <c r="D21" s="18"/>
      <c r="E21" s="125">
        <f t="shared" si="0"/>
        <v>15504.030382500001</v>
      </c>
      <c r="F21" s="19">
        <f t="shared" si="1"/>
        <v>107529.78863192502</v>
      </c>
      <c r="G21" s="6">
        <f>(($C$3*H21)+($C$4*J21)+($C$5*L21)+($C$6*N21))</f>
        <v>15504.030382499997</v>
      </c>
      <c r="H21" s="138">
        <f>(B3*0.05)/12</f>
        <v>1148.4466949999999</v>
      </c>
      <c r="I21" s="20"/>
      <c r="J21" s="20">
        <f>(B4*0.05)/12</f>
        <v>261.0106125</v>
      </c>
      <c r="K21" s="139"/>
      <c r="L21" s="152">
        <f>(B5*0.05)/12</f>
        <v>0</v>
      </c>
      <c r="M21" s="153"/>
      <c r="N21" s="166">
        <f>(B6*0.05)/12</f>
        <v>0</v>
      </c>
      <c r="O21" s="167"/>
      <c r="P21" s="21">
        <f>E21/$F$40</f>
        <v>0.036194624173931496</v>
      </c>
      <c r="Q21" s="17" t="str">
        <f>A21</f>
        <v>Impuestos varios</v>
      </c>
      <c r="R21" s="95"/>
    </row>
    <row r="22" spans="1:18" ht="13.5" thickBot="1">
      <c r="A22" s="26" t="s">
        <v>16</v>
      </c>
      <c r="B22" s="97"/>
      <c r="C22" s="126">
        <f>D7*(1-B12)/$B$11/12</f>
        <v>31008.06076499999</v>
      </c>
      <c r="D22" s="28"/>
      <c r="E22" s="127">
        <f t="shared" si="0"/>
        <v>31008.06076499999</v>
      </c>
      <c r="F22" s="55">
        <f t="shared" si="1"/>
        <v>138537.849396925</v>
      </c>
      <c r="G22" s="29">
        <f>(($C$3*H22)+($C$4*J22)+($C$5*L22)+($C$6*N22))</f>
        <v>31008.060764999995</v>
      </c>
      <c r="H22" s="140">
        <f>B3*(1-B12)/$B$11/12</f>
        <v>2296.8933899999997</v>
      </c>
      <c r="I22" s="111"/>
      <c r="J22" s="111">
        <f>B4*(1-B12)/$B$11/12</f>
        <v>522.0212249999998</v>
      </c>
      <c r="K22" s="141"/>
      <c r="L22" s="154">
        <f>B5*(1-B12)/$B$11/12</f>
        <v>0</v>
      </c>
      <c r="M22" s="155"/>
      <c r="N22" s="168">
        <f>B6*(1-B12)/$B$11/12</f>
        <v>0</v>
      </c>
      <c r="O22" s="169"/>
      <c r="P22" s="113">
        <f>E22/$F$40</f>
        <v>0.07238924834786296</v>
      </c>
      <c r="Q22" s="26" t="s">
        <v>16</v>
      </c>
      <c r="R22" s="97"/>
    </row>
    <row r="23" spans="1:18" ht="12.75">
      <c r="A23" s="110" t="s">
        <v>35</v>
      </c>
      <c r="B23" s="94"/>
      <c r="C23" s="128"/>
      <c r="D23" s="107"/>
      <c r="E23" s="129"/>
      <c r="F23" s="108">
        <f t="shared" si="1"/>
        <v>138537.849396925</v>
      </c>
      <c r="G23" s="2"/>
      <c r="H23" s="142"/>
      <c r="I23" s="109"/>
      <c r="J23" s="109"/>
      <c r="K23" s="143"/>
      <c r="L23" s="156"/>
      <c r="M23" s="157"/>
      <c r="N23" s="170"/>
      <c r="O23" s="171"/>
      <c r="P23" s="114"/>
      <c r="Q23" s="110" t="s">
        <v>35</v>
      </c>
      <c r="R23" s="94"/>
    </row>
    <row r="24" spans="1:18" ht="12.75">
      <c r="A24" s="17" t="s">
        <v>36</v>
      </c>
      <c r="B24" s="95"/>
      <c r="C24" s="124"/>
      <c r="D24" s="18">
        <f>(C3+C5+C6)*104*B50</f>
        <v>2866.5229507199997</v>
      </c>
      <c r="E24" s="125">
        <f t="shared" si="0"/>
        <v>2866.5229507199997</v>
      </c>
      <c r="F24" s="19">
        <f t="shared" si="1"/>
        <v>141404.37234764503</v>
      </c>
      <c r="G24" s="6">
        <f>(($C$3*I24)+($C$4*J24)+($C$5*M24)+($C$6*O24))</f>
        <v>2866.5229507199997</v>
      </c>
      <c r="H24" s="138"/>
      <c r="I24" s="20">
        <f>104*B50</f>
        <v>260.59299552</v>
      </c>
      <c r="J24" s="20"/>
      <c r="K24" s="139"/>
      <c r="L24" s="152"/>
      <c r="M24" s="153">
        <f>I24</f>
        <v>260.59299552</v>
      </c>
      <c r="N24" s="166"/>
      <c r="O24" s="167">
        <f>M24</f>
        <v>260.59299552</v>
      </c>
      <c r="P24" s="21">
        <f aca="true" t="shared" si="2" ref="P24:P30">E24/$F$40</f>
        <v>0.006691983847269111</v>
      </c>
      <c r="Q24" s="17" t="s">
        <v>36</v>
      </c>
      <c r="R24" s="95"/>
    </row>
    <row r="25" spans="1:18" ht="12.75">
      <c r="A25" s="17" t="s">
        <v>37</v>
      </c>
      <c r="B25" s="95"/>
      <c r="C25" s="124"/>
      <c r="D25" s="18">
        <f>(((C3*I3))*H3)+((C4*I4)*H4)+((C5*H5)*I5)+((C6*H6)*I6)</f>
        <v>29460.83201466118</v>
      </c>
      <c r="E25" s="125">
        <f t="shared" si="0"/>
        <v>29460.83201466118</v>
      </c>
      <c r="F25" s="19">
        <f t="shared" si="1"/>
        <v>170865.20436230622</v>
      </c>
      <c r="G25" s="6">
        <f>(($C$3*I25)+($C$4*K25)+($C$5*M25)+($C$6*O25))</f>
        <v>29460.83201466118</v>
      </c>
      <c r="H25" s="138"/>
      <c r="I25" s="20">
        <f>I3*H3</f>
        <v>2383.9921109383854</v>
      </c>
      <c r="J25" s="20"/>
      <c r="K25" s="139">
        <f>I4*H4</f>
        <v>294.26534493990385</v>
      </c>
      <c r="L25" s="152"/>
      <c r="M25" s="153">
        <f>I5*H5</f>
        <v>2344.167957544724</v>
      </c>
      <c r="N25" s="166"/>
      <c r="O25" s="167">
        <f>I6*H6</f>
        <v>1941.7197454946945</v>
      </c>
      <c r="P25" s="21">
        <f t="shared" si="2"/>
        <v>0.06877719640085272</v>
      </c>
      <c r="Q25" s="17" t="s">
        <v>37</v>
      </c>
      <c r="R25" s="95"/>
    </row>
    <row r="26" spans="1:18" ht="12.75">
      <c r="A26" s="17" t="s">
        <v>38</v>
      </c>
      <c r="B26" s="95"/>
      <c r="C26" s="124"/>
      <c r="D26" s="18">
        <f>($B$53*($C$3)*$I$3/2)+($B$53*($C$5)*$I$5/2.5)+($B$53*($C$6)*$I$5/3)</f>
        <v>468.10763999999995</v>
      </c>
      <c r="E26" s="125">
        <f t="shared" si="0"/>
        <v>468.10763999999995</v>
      </c>
      <c r="F26" s="19">
        <f t="shared" si="1"/>
        <v>171333.31200230622</v>
      </c>
      <c r="G26" s="6">
        <f>(($C$3*I26)+($C$4*J26)+($C$5*M26)+($C$6*O26))</f>
        <v>468.10763999999995</v>
      </c>
      <c r="H26" s="138"/>
      <c r="I26" s="20">
        <f>+($B$53*$I$3/2)</f>
        <v>42.55524</v>
      </c>
      <c r="J26" s="20"/>
      <c r="K26" s="139"/>
      <c r="L26" s="152"/>
      <c r="M26" s="153">
        <f>+($B$53*$I$5/2.5)</f>
        <v>34.044191999999995</v>
      </c>
      <c r="N26" s="166"/>
      <c r="O26" s="167">
        <f>+($B$53*$I$5/3)</f>
        <v>28.37016</v>
      </c>
      <c r="P26" s="21">
        <f t="shared" si="2"/>
        <v>0.0010928113325855073</v>
      </c>
      <c r="Q26" s="17" t="s">
        <v>38</v>
      </c>
      <c r="R26" s="95"/>
    </row>
    <row r="27" spans="1:18" ht="12.75">
      <c r="A27" s="17" t="s">
        <v>39</v>
      </c>
      <c r="B27" s="95"/>
      <c r="C27" s="124"/>
      <c r="D27" s="18">
        <f>(C3*I27+C5*M27+C6*O27)</f>
        <v>13605.5101820616</v>
      </c>
      <c r="E27" s="125">
        <f>(C27+D27)</f>
        <v>13605.5101820616</v>
      </c>
      <c r="F27" s="19">
        <f t="shared" si="1"/>
        <v>184938.82218436783</v>
      </c>
      <c r="G27" s="6">
        <f>(($C$3*I27)+($C$4*J27)+($C$5*M27)+($C$6*O27))</f>
        <v>13605.5101820616</v>
      </c>
      <c r="H27" s="138"/>
      <c r="I27" s="20">
        <f>(30+8)*$K$11*B50</f>
        <v>1236.8645620056</v>
      </c>
      <c r="J27" s="20"/>
      <c r="K27" s="139"/>
      <c r="L27" s="152"/>
      <c r="M27" s="153">
        <f>(30+6)*$K$11*$B$50</f>
        <v>1171.7664271631998</v>
      </c>
      <c r="N27" s="166"/>
      <c r="O27" s="167">
        <f>(30+6)*$K$11*$B$50</f>
        <v>1171.7664271631998</v>
      </c>
      <c r="P27" s="21">
        <f t="shared" si="2"/>
        <v>0.03176247179508634</v>
      </c>
      <c r="Q27" s="17" t="s">
        <v>39</v>
      </c>
      <c r="R27" s="95"/>
    </row>
    <row r="28" spans="1:18" ht="12.75">
      <c r="A28" s="17" t="s">
        <v>40</v>
      </c>
      <c r="B28" s="95"/>
      <c r="C28" s="124"/>
      <c r="D28" s="18">
        <f>I28*C3+M28*C5+O28*C6</f>
        <v>39091.25</v>
      </c>
      <c r="E28" s="125">
        <f>(C28+D28)</f>
        <v>39091.25</v>
      </c>
      <c r="F28" s="19">
        <f t="shared" si="1"/>
        <v>224030.07218436783</v>
      </c>
      <c r="G28" s="6">
        <f>(($C$3*(H28+I28))+($C$4*(J28+K28))+($C$5*(L28+M28))+($C$6*(N28+O28)))</f>
        <v>39091.25</v>
      </c>
      <c r="H28" s="138"/>
      <c r="I28" s="204">
        <f>2.5*K13</f>
        <v>3553.75</v>
      </c>
      <c r="J28" s="20"/>
      <c r="K28" s="139"/>
      <c r="L28" s="152"/>
      <c r="M28" s="153">
        <f>3.25*K13</f>
        <v>4619.875</v>
      </c>
      <c r="N28" s="166"/>
      <c r="O28" s="167">
        <f>2.5*K13</f>
        <v>3553.75</v>
      </c>
      <c r="P28" s="21">
        <f t="shared" si="2"/>
        <v>0.09125969617785605</v>
      </c>
      <c r="Q28" s="17" t="s">
        <v>40</v>
      </c>
      <c r="R28" s="95"/>
    </row>
    <row r="29" spans="1:18" ht="12.75">
      <c r="A29" s="17" t="s">
        <v>243</v>
      </c>
      <c r="B29" s="95"/>
      <c r="C29" s="124">
        <f>H29*$C$3+J29*$C$4+L29*$C$5+N29*$C$6</f>
        <v>9341.285714285714</v>
      </c>
      <c r="D29" s="18">
        <f>I29*$C$3+K29*$C$4+M29*$C$5+O29*$C$6</f>
        <v>0</v>
      </c>
      <c r="E29" s="125">
        <f>(C29+D29)</f>
        <v>9341.285714285714</v>
      </c>
      <c r="F29" s="19">
        <f t="shared" si="1"/>
        <v>233371.35789865354</v>
      </c>
      <c r="G29" s="6">
        <f>(($C$3*(H29+I29))+($C$4*(J29+K29))+($C$5*(L29+M29))+($C$6*(N29+O29)))</f>
        <v>9341.285714285714</v>
      </c>
      <c r="H29" s="138">
        <f>((85000)/192500)*$K$13</f>
        <v>627.6753246753246</v>
      </c>
      <c r="I29" s="20">
        <v>0</v>
      </c>
      <c r="J29" s="20">
        <f>((30000)/192500)*$K$13</f>
        <v>221.53246753246754</v>
      </c>
      <c r="K29" s="139">
        <v>0</v>
      </c>
      <c r="L29" s="152">
        <f>((50000)/192500)*$K$13</f>
        <v>369.2207792207792</v>
      </c>
      <c r="M29" s="153">
        <v>0</v>
      </c>
      <c r="N29" s="166">
        <f>((30000)/192500)*$K$13</f>
        <v>221.53246753246754</v>
      </c>
      <c r="O29" s="167">
        <v>0</v>
      </c>
      <c r="P29" s="21">
        <f t="shared" si="2"/>
        <v>0.021807511813929238</v>
      </c>
      <c r="Q29" s="17" t="s">
        <v>243</v>
      </c>
      <c r="R29" s="95"/>
    </row>
    <row r="30" spans="1:18" ht="13.5" thickBot="1">
      <c r="A30" s="26" t="s">
        <v>242</v>
      </c>
      <c r="B30" s="97"/>
      <c r="C30" s="126">
        <f>SUM(C28:C29)*$K$10</f>
        <v>13077.8</v>
      </c>
      <c r="D30" s="28">
        <f>SUM(D28:D29)*$K$10</f>
        <v>54727.75</v>
      </c>
      <c r="E30" s="127">
        <f>(C30+D30)</f>
        <v>67805.55</v>
      </c>
      <c r="F30" s="55">
        <f t="shared" si="1"/>
        <v>301176.90789865353</v>
      </c>
      <c r="G30" s="29">
        <f>(($C$3*(H30+I30))+($C$4*(J30+K30))+($C$5*(L30+M30))+($C$6*(N30+O30)))</f>
        <v>67805.55</v>
      </c>
      <c r="H30" s="140">
        <f aca="true" t="shared" si="3" ref="H30:O30">(H28+H29)*$K$10</f>
        <v>878.7454545454544</v>
      </c>
      <c r="I30" s="111">
        <f t="shared" si="3"/>
        <v>4975.25</v>
      </c>
      <c r="J30" s="111">
        <f t="shared" si="3"/>
        <v>310.1454545454545</v>
      </c>
      <c r="K30" s="141">
        <f t="shared" si="3"/>
        <v>0</v>
      </c>
      <c r="L30" s="154">
        <f t="shared" si="3"/>
        <v>516.9090909090909</v>
      </c>
      <c r="M30" s="155">
        <f t="shared" si="3"/>
        <v>6467.825</v>
      </c>
      <c r="N30" s="168">
        <f t="shared" si="3"/>
        <v>310.1454545454545</v>
      </c>
      <c r="O30" s="169">
        <f t="shared" si="3"/>
        <v>4975.25</v>
      </c>
      <c r="P30" s="113">
        <f t="shared" si="2"/>
        <v>0.15829409118849944</v>
      </c>
      <c r="Q30" s="26" t="s">
        <v>242</v>
      </c>
      <c r="R30" s="97"/>
    </row>
    <row r="31" spans="1:18" ht="12.75">
      <c r="A31" s="110" t="s">
        <v>41</v>
      </c>
      <c r="B31" s="94"/>
      <c r="C31" s="128"/>
      <c r="D31" s="107"/>
      <c r="E31" s="129"/>
      <c r="F31" s="108"/>
      <c r="G31" s="2"/>
      <c r="H31" s="142"/>
      <c r="I31" s="109"/>
      <c r="J31" s="109"/>
      <c r="K31" s="143"/>
      <c r="L31" s="156"/>
      <c r="M31" s="157"/>
      <c r="N31" s="170"/>
      <c r="O31" s="171"/>
      <c r="P31" s="114"/>
      <c r="Q31" s="110" t="s">
        <v>41</v>
      </c>
      <c r="R31" s="94"/>
    </row>
    <row r="32" spans="1:18" ht="12.75">
      <c r="A32" s="17" t="s">
        <v>42</v>
      </c>
      <c r="B32" s="95"/>
      <c r="C32" s="124">
        <f>(H32*$C$3+J32*$C$4+L32*$C$5+N32*$C$6)</f>
        <v>15433.42857142857</v>
      </c>
      <c r="D32" s="18"/>
      <c r="E32" s="125">
        <f t="shared" si="0"/>
        <v>15433.42857142857</v>
      </c>
      <c r="F32" s="19">
        <f>F30+C32+D32</f>
        <v>316610.3364700821</v>
      </c>
      <c r="G32" s="6">
        <f>(($C$3*(H32+I32))+($C$4*(J32+K32))+($C$5*(L32+M32))+($C$6*(N32+O32)))</f>
        <v>15433.42857142857</v>
      </c>
      <c r="H32" s="138">
        <f>((140000)/192500)*$K$13</f>
        <v>1033.8181818181818</v>
      </c>
      <c r="I32" s="20"/>
      <c r="J32" s="20">
        <f>((50000)/192500)*$K$13</f>
        <v>369.2207792207792</v>
      </c>
      <c r="K32" s="139"/>
      <c r="L32" s="152">
        <f>((80000)/192500)*$K$13</f>
        <v>590.7532467532468</v>
      </c>
      <c r="M32" s="153"/>
      <c r="N32" s="166">
        <f>((50000)/192500)*$K$13</f>
        <v>369.2207792207792</v>
      </c>
      <c r="O32" s="167"/>
      <c r="P32" s="21">
        <f>G32/$F$40</f>
        <v>0.03602980212736135</v>
      </c>
      <c r="Q32" s="17" t="s">
        <v>42</v>
      </c>
      <c r="R32" s="95"/>
    </row>
    <row r="33" spans="1:18" ht="12.75">
      <c r="A33" s="17" t="s">
        <v>43</v>
      </c>
      <c r="B33" s="95"/>
      <c r="C33" s="124">
        <f>C32*K10</f>
        <v>21606.8</v>
      </c>
      <c r="D33" s="18">
        <f>(D32)*K10</f>
        <v>0</v>
      </c>
      <c r="E33" s="125">
        <f t="shared" si="0"/>
        <v>21606.8</v>
      </c>
      <c r="F33" s="19">
        <f>F32+C33+D33</f>
        <v>338217.1364700821</v>
      </c>
      <c r="G33" s="6">
        <f>(($C$3*(H33+I33))+($C$4*(J33+K33))+($C$5*(L33+M33))+($C$6*(N33+O33)))</f>
        <v>21606.8</v>
      </c>
      <c r="H33" s="138">
        <f aca="true" t="shared" si="4" ref="H33:O33">(H32)*$K$10</f>
        <v>1447.3454545454545</v>
      </c>
      <c r="I33" s="20">
        <f t="shared" si="4"/>
        <v>0</v>
      </c>
      <c r="J33" s="20">
        <f t="shared" si="4"/>
        <v>516.9090909090909</v>
      </c>
      <c r="K33" s="139">
        <f t="shared" si="4"/>
        <v>0</v>
      </c>
      <c r="L33" s="152">
        <f t="shared" si="4"/>
        <v>827.0545454545455</v>
      </c>
      <c r="M33" s="153">
        <f t="shared" si="4"/>
        <v>0</v>
      </c>
      <c r="N33" s="166">
        <f t="shared" si="4"/>
        <v>516.9090909090909</v>
      </c>
      <c r="O33" s="167">
        <f t="shared" si="4"/>
        <v>0</v>
      </c>
      <c r="P33" s="21">
        <f>E33/$F$40</f>
        <v>0.05044172297830589</v>
      </c>
      <c r="Q33" s="17" t="s">
        <v>43</v>
      </c>
      <c r="R33" s="95"/>
    </row>
    <row r="34" spans="1:18" ht="12.75">
      <c r="A34" s="17" t="s">
        <v>44</v>
      </c>
      <c r="B34" s="95"/>
      <c r="C34" s="124">
        <f>(H34*$C$3+J34*$C$4+L34*$C$5+N34*$C$6)</f>
        <v>18742.650062399996</v>
      </c>
      <c r="D34" s="18"/>
      <c r="E34" s="125">
        <f t="shared" si="0"/>
        <v>18742.650062399996</v>
      </c>
      <c r="F34" s="19">
        <f t="shared" si="1"/>
        <v>356959.7865324821</v>
      </c>
      <c r="G34" s="6">
        <f>(($C$3*H34)+($C$4*J34)+($C$5*L34)+($C$6*N34))</f>
        <v>18742.650062399996</v>
      </c>
      <c r="H34" s="138">
        <f>600*B50</f>
        <v>1503.4211279999997</v>
      </c>
      <c r="I34" s="20">
        <v>0</v>
      </c>
      <c r="J34" s="20">
        <f>80*B50</f>
        <v>200.45615039999998</v>
      </c>
      <c r="K34" s="139">
        <v>0</v>
      </c>
      <c r="L34" s="152">
        <f>480*B50</f>
        <v>1202.7369024</v>
      </c>
      <c r="M34" s="153">
        <v>0</v>
      </c>
      <c r="N34" s="166">
        <f>400*B50</f>
        <v>1002.2807519999999</v>
      </c>
      <c r="O34" s="167"/>
      <c r="P34" s="21">
        <f>E34/$F$40</f>
        <v>0.04375527900137495</v>
      </c>
      <c r="Q34" s="17" t="s">
        <v>44</v>
      </c>
      <c r="R34" s="95"/>
    </row>
    <row r="35" spans="1:18" ht="13.5" thickBot="1">
      <c r="A35" s="26"/>
      <c r="B35" s="97"/>
      <c r="C35" s="126"/>
      <c r="D35" s="28"/>
      <c r="E35" s="127"/>
      <c r="F35" s="55"/>
      <c r="G35" s="29"/>
      <c r="H35" s="140"/>
      <c r="I35" s="111"/>
      <c r="J35" s="111"/>
      <c r="K35" s="141"/>
      <c r="L35" s="154"/>
      <c r="M35" s="155"/>
      <c r="N35" s="168"/>
      <c r="O35" s="169"/>
      <c r="P35" s="113"/>
      <c r="Q35" s="26"/>
      <c r="R35" s="97"/>
    </row>
    <row r="36" spans="1:24" s="24" customFormat="1" ht="12.75">
      <c r="A36" s="16" t="s">
        <v>45</v>
      </c>
      <c r="B36" s="96"/>
      <c r="C36" s="130">
        <f>SUM(C18:C32)+C33+C34</f>
        <v>216739.81374503928</v>
      </c>
      <c r="D36" s="19">
        <f>SUM(D18:D34)</f>
        <v>140219.9727874428</v>
      </c>
      <c r="E36" s="125">
        <f t="shared" si="0"/>
        <v>356959.7865324821</v>
      </c>
      <c r="F36" s="19">
        <f>C36+D36</f>
        <v>356959.7865324821</v>
      </c>
      <c r="G36" s="22">
        <f>(($C$3*(H36+I36))+($C$4*(J36+K36))+($C$5*(L36+M36))+($C$6*(N36+O36)))</f>
        <v>356959.78653248213</v>
      </c>
      <c r="H36" s="144">
        <f aca="true" t="shared" si="5" ref="H36:O36">SUM(H18:H32)+H33+H34</f>
        <v>15375.530135619423</v>
      </c>
      <c r="I36" s="23">
        <f t="shared" si="5"/>
        <v>12453.004908463985</v>
      </c>
      <c r="J36" s="23">
        <f t="shared" si="5"/>
        <v>4328.089295747788</v>
      </c>
      <c r="K36" s="145">
        <f t="shared" si="5"/>
        <v>294.26534493990385</v>
      </c>
      <c r="L36" s="158">
        <f t="shared" si="5"/>
        <v>6708.270260157666</v>
      </c>
      <c r="M36" s="159">
        <f t="shared" si="5"/>
        <v>14898.271572227924</v>
      </c>
      <c r="N36" s="172">
        <f t="shared" si="5"/>
        <v>4487.064520007788</v>
      </c>
      <c r="O36" s="173">
        <f t="shared" si="5"/>
        <v>11931.449328177894</v>
      </c>
      <c r="P36" s="21"/>
      <c r="Q36" s="16" t="s">
        <v>45</v>
      </c>
      <c r="R36" s="96"/>
      <c r="T36" s="4"/>
      <c r="W36" s="4"/>
      <c r="X36" s="4"/>
    </row>
    <row r="37" spans="1:18" ht="12.75">
      <c r="A37" s="17"/>
      <c r="B37" s="95"/>
      <c r="C37" s="124"/>
      <c r="D37" s="18"/>
      <c r="E37" s="125"/>
      <c r="F37" s="19"/>
      <c r="G37" s="6"/>
      <c r="H37" s="138"/>
      <c r="I37" s="20"/>
      <c r="J37" s="20"/>
      <c r="K37" s="139"/>
      <c r="L37" s="152"/>
      <c r="M37" s="153"/>
      <c r="N37" s="166"/>
      <c r="O37" s="167"/>
      <c r="P37" s="21"/>
      <c r="Q37" s="17"/>
      <c r="R37" s="95"/>
    </row>
    <row r="38" spans="1:18" ht="12.75">
      <c r="A38" s="17" t="s">
        <v>46</v>
      </c>
      <c r="B38" s="117">
        <v>0.2</v>
      </c>
      <c r="C38" s="124">
        <f>C36*($B$38)</f>
        <v>43347.96274900786</v>
      </c>
      <c r="D38" s="18">
        <f>D36*($B$38)</f>
        <v>28043.99455748856</v>
      </c>
      <c r="E38" s="125">
        <f t="shared" si="0"/>
        <v>71391.95730649642</v>
      </c>
      <c r="F38" s="19">
        <f>F36*($B$38)</f>
        <v>71391.95730649642</v>
      </c>
      <c r="G38" s="6">
        <f>(($C$3*(H38+I38))+($C$4*(J38+K38))+($C$5*(L38+M38))+($C$6*(N38+O38)))</f>
        <v>71391.95730649642</v>
      </c>
      <c r="H38" s="138">
        <f aca="true" t="shared" si="6" ref="H38:O38">H36*($B$38)</f>
        <v>3075.106027123885</v>
      </c>
      <c r="I38" s="20">
        <f t="shared" si="6"/>
        <v>2490.600981692797</v>
      </c>
      <c r="J38" s="20">
        <f t="shared" si="6"/>
        <v>865.6178591495577</v>
      </c>
      <c r="K38" s="139">
        <f t="shared" si="6"/>
        <v>58.85306898798078</v>
      </c>
      <c r="L38" s="152">
        <f t="shared" si="6"/>
        <v>1341.6540520315332</v>
      </c>
      <c r="M38" s="153">
        <f t="shared" si="6"/>
        <v>2979.654314445585</v>
      </c>
      <c r="N38" s="166">
        <f t="shared" si="6"/>
        <v>897.4129040015576</v>
      </c>
      <c r="O38" s="167">
        <f t="shared" si="6"/>
        <v>2386.2898656355787</v>
      </c>
      <c r="P38" s="21">
        <f>F38/$F$40</f>
        <v>0.16666666666666669</v>
      </c>
      <c r="Q38" s="17" t="s">
        <v>46</v>
      </c>
      <c r="R38" s="95"/>
    </row>
    <row r="39" spans="1:18" ht="12.75">
      <c r="A39" s="17"/>
      <c r="B39" s="95"/>
      <c r="C39" s="131">
        <f>C40/F40</f>
        <v>0.6071827189568222</v>
      </c>
      <c r="D39" s="25">
        <f>D40/F40</f>
        <v>0.3928172810431779</v>
      </c>
      <c r="E39" s="125"/>
      <c r="F39" s="19"/>
      <c r="G39" s="6"/>
      <c r="H39" s="138"/>
      <c r="I39" s="20"/>
      <c r="J39" s="20"/>
      <c r="K39" s="139"/>
      <c r="L39" s="152"/>
      <c r="M39" s="153"/>
      <c r="N39" s="166"/>
      <c r="O39" s="167"/>
      <c r="P39" s="21"/>
      <c r="Q39" s="17"/>
      <c r="R39" s="95"/>
    </row>
    <row r="40" spans="1:24" s="24" customFormat="1" ht="13.5" thickBot="1">
      <c r="A40" s="118" t="s">
        <v>47</v>
      </c>
      <c r="B40" s="119"/>
      <c r="C40" s="132">
        <f>C36+C38</f>
        <v>260087.77649404714</v>
      </c>
      <c r="D40" s="55">
        <f>D36+D38</f>
        <v>168263.96734493136</v>
      </c>
      <c r="E40" s="133">
        <f t="shared" si="0"/>
        <v>428351.74383897847</v>
      </c>
      <c r="F40" s="19">
        <f>F36+F38</f>
        <v>428351.74383897847</v>
      </c>
      <c r="G40" s="22">
        <f>(($C$3*(H40+I40))+($C$4*(J40+K40))+($C$5*(L40+M40))+($C$6*(N40+O40)))</f>
        <v>428351.74383897847</v>
      </c>
      <c r="H40" s="144">
        <f>H36+H38</f>
        <v>18450.636162743307</v>
      </c>
      <c r="I40" s="23">
        <f aca="true" t="shared" si="7" ref="I40:O40">I36+I38</f>
        <v>14943.605890156781</v>
      </c>
      <c r="J40" s="23">
        <f t="shared" si="7"/>
        <v>5193.707154897345</v>
      </c>
      <c r="K40" s="145">
        <f t="shared" si="7"/>
        <v>353.1184139278846</v>
      </c>
      <c r="L40" s="158">
        <f t="shared" si="7"/>
        <v>8049.924312189199</v>
      </c>
      <c r="M40" s="159">
        <f t="shared" si="7"/>
        <v>17877.92588667351</v>
      </c>
      <c r="N40" s="172">
        <f t="shared" si="7"/>
        <v>5384.477424009346</v>
      </c>
      <c r="O40" s="173">
        <f t="shared" si="7"/>
        <v>14317.739193813473</v>
      </c>
      <c r="P40" s="21">
        <f>SUM(P18:P32)+P33+P34+P38</f>
        <v>1.0000000000000002</v>
      </c>
      <c r="Q40" s="16" t="s">
        <v>47</v>
      </c>
      <c r="R40" s="96"/>
      <c r="T40" s="4"/>
      <c r="W40" s="4"/>
      <c r="X40" s="4"/>
    </row>
    <row r="41" spans="1:18" ht="12.75">
      <c r="A41" s="104"/>
      <c r="B41" s="105"/>
      <c r="C41" s="106"/>
      <c r="D41" s="106"/>
      <c r="E41" s="107"/>
      <c r="F41" s="108"/>
      <c r="G41" s="2"/>
      <c r="H41" s="142" t="s">
        <v>48</v>
      </c>
      <c r="I41" s="109" t="s">
        <v>49</v>
      </c>
      <c r="J41" s="109" t="s">
        <v>48</v>
      </c>
      <c r="K41" s="143" t="s">
        <v>49</v>
      </c>
      <c r="L41" s="156" t="s">
        <v>48</v>
      </c>
      <c r="M41" s="157" t="s">
        <v>49</v>
      </c>
      <c r="N41" s="170" t="s">
        <v>48</v>
      </c>
      <c r="O41" s="171" t="s">
        <v>49</v>
      </c>
      <c r="P41" s="3"/>
      <c r="Q41" s="104"/>
      <c r="R41" s="94"/>
    </row>
    <row r="42" spans="1:18" ht="13.5" thickBot="1">
      <c r="A42" s="26"/>
      <c r="B42" s="27"/>
      <c r="C42" s="28"/>
      <c r="D42" s="28"/>
      <c r="E42" s="28"/>
      <c r="F42" s="55"/>
      <c r="G42" s="29"/>
      <c r="H42" s="146">
        <f>H40/K11</f>
        <v>1420.372298902487</v>
      </c>
      <c r="I42" s="30">
        <f>I40/I3</f>
        <v>9.130103675694846</v>
      </c>
      <c r="J42" s="30">
        <f>J40/K11</f>
        <v>399.82349152404504</v>
      </c>
      <c r="K42" s="147">
        <f>K40/I4</f>
        <v>0.21574496494732492</v>
      </c>
      <c r="L42" s="160">
        <f>L40/K11</f>
        <v>619.7016406612162</v>
      </c>
      <c r="M42" s="161">
        <f>M40/I5</f>
        <v>10.92288688898268</v>
      </c>
      <c r="N42" s="174">
        <f>N40/K11</f>
        <v>414.50942448108896</v>
      </c>
      <c r="O42" s="175">
        <f>O40/I6</f>
        <v>8.747717532298028</v>
      </c>
      <c r="P42" s="31"/>
      <c r="Q42" s="26"/>
      <c r="R42" s="97"/>
    </row>
    <row r="43" spans="1:22" ht="13.5" thickBot="1">
      <c r="A43" s="33"/>
      <c r="B43" s="33"/>
      <c r="C43" s="33"/>
      <c r="D43" s="33"/>
      <c r="E43" s="33"/>
      <c r="F43" s="56"/>
      <c r="G43" s="33"/>
      <c r="H43" s="33"/>
      <c r="I43" s="33"/>
      <c r="J43" s="33"/>
      <c r="K43" s="33"/>
      <c r="L43" s="33"/>
      <c r="M43" s="33"/>
      <c r="N43" s="33"/>
      <c r="O43" s="33"/>
      <c r="Q43" s="33"/>
      <c r="R43" s="33"/>
      <c r="S43" s="33"/>
      <c r="U43" s="33"/>
      <c r="V43" s="33"/>
    </row>
    <row r="44" spans="1:22" ht="13.5" thickBot="1">
      <c r="A44" s="186"/>
      <c r="B44" s="187" t="s">
        <v>0</v>
      </c>
      <c r="C44" s="188"/>
      <c r="D44" s="188"/>
      <c r="E44" s="188"/>
      <c r="F44" s="187"/>
      <c r="G44" s="188"/>
      <c r="H44" s="187" t="s">
        <v>1</v>
      </c>
      <c r="I44" s="187"/>
      <c r="J44" s="189"/>
      <c r="K44" s="33"/>
      <c r="L44" s="33"/>
      <c r="M44" s="33"/>
      <c r="N44" s="33"/>
      <c r="O44" s="33"/>
      <c r="Q44" s="33"/>
      <c r="R44" s="33"/>
      <c r="S44" s="33"/>
      <c r="U44" s="33"/>
      <c r="V44" s="33"/>
    </row>
    <row r="45" spans="1:22" ht="13.5" thickBot="1">
      <c r="A45" s="186" t="s">
        <v>3</v>
      </c>
      <c r="B45" s="197">
        <f>($H$40+$J$40)/K11</f>
        <v>1820.1957904265323</v>
      </c>
      <c r="C45" s="188"/>
      <c r="D45" s="188"/>
      <c r="E45" s="188"/>
      <c r="F45" s="187"/>
      <c r="G45" s="188"/>
      <c r="H45" s="197">
        <f>I42+K42</f>
        <v>9.34584864064217</v>
      </c>
      <c r="I45" s="197"/>
      <c r="J45" s="199">
        <f>(B45*K11/I3)+H45</f>
        <v>23.79184697736068</v>
      </c>
      <c r="K45" s="34">
        <f>B45*K11+I3*H45</f>
        <v>38941.06762172532</v>
      </c>
      <c r="L45" s="34">
        <f>K45/21</f>
        <v>1854.3365534154914</v>
      </c>
      <c r="M45" s="77">
        <f>(K45/37876885)-1</f>
        <v>-0.9989719041673643</v>
      </c>
      <c r="O45" s="34">
        <f>B45*21</f>
        <v>38224.11159895718</v>
      </c>
      <c r="Q45" s="21">
        <f>(+J45/4795)-1</f>
        <v>-0.9950381966679123</v>
      </c>
      <c r="R45" s="33"/>
      <c r="S45" s="33"/>
      <c r="U45" s="33"/>
      <c r="V45" s="33"/>
    </row>
    <row r="46" spans="1:22" ht="13.5" thickBot="1">
      <c r="A46" s="186" t="s">
        <v>292</v>
      </c>
      <c r="B46" s="197">
        <f>($L$40)/K11</f>
        <v>619.7016406612162</v>
      </c>
      <c r="C46" s="188"/>
      <c r="D46" s="188"/>
      <c r="E46" s="188"/>
      <c r="F46" s="187"/>
      <c r="G46" s="188"/>
      <c r="H46" s="197">
        <f>M42</f>
        <v>10.92288688898268</v>
      </c>
      <c r="I46" s="200"/>
      <c r="J46" s="199">
        <f>(B46*K11/I5)+H46</f>
        <v>15.84115387835741</v>
      </c>
      <c r="K46" s="34">
        <f>B46*21+H46*I5</f>
        <v>30891.66034055905</v>
      </c>
      <c r="L46" s="34">
        <f>K46/21</f>
        <v>1471.0314447885262</v>
      </c>
      <c r="M46" s="77">
        <f>(K46/22067430)-1</f>
        <v>-0.9986001242400878</v>
      </c>
      <c r="N46" s="33"/>
      <c r="O46" s="34">
        <f>H45*10000</f>
        <v>93458.48640642171</v>
      </c>
      <c r="Q46" s="21">
        <f>(+J46/4088)-1</f>
        <v>-0.9961249623585231</v>
      </c>
      <c r="R46" s="33"/>
      <c r="S46" s="33"/>
      <c r="U46" s="33"/>
      <c r="V46" s="33"/>
    </row>
    <row r="47" spans="1:22" ht="13.5" thickBot="1">
      <c r="A47" s="184" t="s">
        <v>291</v>
      </c>
      <c r="B47" s="198">
        <f>($N$40)/K11</f>
        <v>414.50942448108896</v>
      </c>
      <c r="C47" s="112"/>
      <c r="D47" s="112"/>
      <c r="E47" s="112"/>
      <c r="F47" s="185"/>
      <c r="G47" s="112"/>
      <c r="H47" s="198">
        <f>O42</f>
        <v>8.747717532298028</v>
      </c>
      <c r="I47" s="192"/>
      <c r="J47" s="199">
        <f>(B47*K11/I6)+H47</f>
        <v>12.037474869449527</v>
      </c>
      <c r="K47" s="34">
        <f>B47*21+H47*I6</f>
        <v>23022.43710791634</v>
      </c>
      <c r="L47" s="34">
        <f>K47/21</f>
        <v>1096.306528948397</v>
      </c>
      <c r="M47" s="77">
        <f>(K47/16656803)-1</f>
        <v>-0.998617835781097</v>
      </c>
      <c r="N47" s="33"/>
      <c r="O47" s="33"/>
      <c r="Q47" s="21">
        <f>(+J47/3096)-1</f>
        <v>-0.9961119267217541</v>
      </c>
      <c r="R47" s="33"/>
      <c r="S47" s="33"/>
      <c r="U47" s="33"/>
      <c r="V47" s="33"/>
    </row>
    <row r="48" spans="1:24" s="76" customFormat="1" ht="13.5" thickBot="1">
      <c r="A48" s="176"/>
      <c r="B48" s="176"/>
      <c r="F48" s="177"/>
      <c r="G48" s="34"/>
      <c r="H48" s="176"/>
      <c r="I48" s="178"/>
      <c r="J48" s="178"/>
      <c r="K48" s="178"/>
      <c r="L48" s="178"/>
      <c r="M48" s="178"/>
      <c r="N48" s="178"/>
      <c r="O48" s="178"/>
      <c r="P48" s="179"/>
      <c r="Q48" s="178"/>
      <c r="R48" s="178"/>
      <c r="S48" s="178"/>
      <c r="U48" s="178"/>
      <c r="V48" s="178"/>
      <c r="W48" s="4"/>
      <c r="X48" s="4"/>
    </row>
    <row r="49" spans="1:22" ht="13.5" thickBot="1">
      <c r="A49" s="85" t="s">
        <v>6</v>
      </c>
      <c r="B49" s="83"/>
      <c r="C49" s="83"/>
      <c r="D49" s="83"/>
      <c r="E49" s="83"/>
      <c r="F49" s="82"/>
      <c r="G49" s="190">
        <f>F49/164215675</f>
        <v>0</v>
      </c>
      <c r="H49" s="83"/>
      <c r="I49" s="83"/>
      <c r="J49" s="87"/>
      <c r="K49" s="33"/>
      <c r="L49" s="33"/>
      <c r="M49" s="33"/>
      <c r="N49" s="33"/>
      <c r="O49" s="33"/>
      <c r="Q49" s="32"/>
      <c r="R49" s="33"/>
      <c r="S49" s="33"/>
      <c r="U49" s="33"/>
      <c r="V49" s="33"/>
    </row>
    <row r="50" spans="1:22" ht="12.75">
      <c r="A50" s="5" t="s">
        <v>8</v>
      </c>
      <c r="B50" s="9">
        <f>1.38*B14</f>
        <v>2.5057018799999997</v>
      </c>
      <c r="C50" s="6"/>
      <c r="D50" s="6"/>
      <c r="E50" s="6"/>
      <c r="F50" s="22">
        <f>E18+E19+E20+E21+E22+E24+E27+E34+F38</f>
        <v>245144.48989860306</v>
      </c>
      <c r="G50" s="6"/>
      <c r="H50" s="6"/>
      <c r="I50" s="13">
        <f>(F50+F49)/F55</f>
        <v>0.5722971679806099</v>
      </c>
      <c r="J50" s="180"/>
      <c r="L50" s="33"/>
      <c r="M50" s="33"/>
      <c r="N50" s="33"/>
      <c r="O50" s="33"/>
      <c r="Q50" s="33"/>
      <c r="R50" s="33"/>
      <c r="S50" s="33"/>
      <c r="U50" s="33"/>
      <c r="V50" s="33"/>
    </row>
    <row r="51" spans="1:22" ht="12.75">
      <c r="A51" s="5" t="s">
        <v>10</v>
      </c>
      <c r="B51" s="194">
        <v>4.3</v>
      </c>
      <c r="C51" s="6"/>
      <c r="D51" s="6"/>
      <c r="E51" s="6"/>
      <c r="F51" s="22">
        <f>E25</f>
        <v>29460.83201466118</v>
      </c>
      <c r="G51" s="6"/>
      <c r="H51" s="6"/>
      <c r="I51" s="13">
        <f>F51/F55</f>
        <v>0.06877719640085272</v>
      </c>
      <c r="J51" s="180"/>
      <c r="L51" s="33"/>
      <c r="M51" s="33"/>
      <c r="N51" s="33"/>
      <c r="O51" s="33"/>
      <c r="Q51" s="33"/>
      <c r="R51" s="33"/>
      <c r="S51" s="33"/>
      <c r="U51" s="33"/>
      <c r="V51" s="33"/>
    </row>
    <row r="52" spans="1:22" ht="12.75">
      <c r="A52" s="5" t="str">
        <f>I13</f>
        <v>Salario min actual</v>
      </c>
      <c r="B52" s="6">
        <f>K13</f>
        <v>1421.5</v>
      </c>
      <c r="C52" s="6"/>
      <c r="D52" s="6"/>
      <c r="E52" s="6"/>
      <c r="F52" s="22">
        <f>E32+E28+E33+E29+E30</f>
        <v>153278.3142857143</v>
      </c>
      <c r="G52" s="6"/>
      <c r="H52" s="6"/>
      <c r="I52" s="13">
        <f>F52/F55</f>
        <v>0.3578328242859519</v>
      </c>
      <c r="J52" s="180"/>
      <c r="K52" s="33"/>
      <c r="L52" s="33"/>
      <c r="M52" s="33"/>
      <c r="N52" s="33"/>
      <c r="O52" s="33"/>
      <c r="Q52" s="33"/>
      <c r="R52" s="33"/>
      <c r="S52" s="33"/>
      <c r="U52" s="33"/>
      <c r="V52" s="33"/>
    </row>
    <row r="53" spans="1:22" ht="13.5" thickBot="1">
      <c r="A53" s="69" t="s">
        <v>15</v>
      </c>
      <c r="B53" s="181">
        <v>0.052</v>
      </c>
      <c r="C53" s="29"/>
      <c r="D53" s="29"/>
      <c r="E53" s="29"/>
      <c r="F53" s="80">
        <f>E26</f>
        <v>468.10763999999995</v>
      </c>
      <c r="G53" s="29"/>
      <c r="H53" s="29"/>
      <c r="I53" s="182">
        <f>F53/F55</f>
        <v>0.0010928113325855073</v>
      </c>
      <c r="J53" s="183">
        <f>SUM(I50:I53)</f>
        <v>1</v>
      </c>
      <c r="K53" s="33"/>
      <c r="L53" s="33"/>
      <c r="M53" s="196">
        <v>40247</v>
      </c>
      <c r="N53" s="33" t="s">
        <v>300</v>
      </c>
      <c r="O53" s="33" t="s">
        <v>299</v>
      </c>
      <c r="Q53" s="33"/>
      <c r="R53" s="33" t="str">
        <f>O53</f>
        <v>julio08</v>
      </c>
      <c r="S53" s="33"/>
      <c r="U53" s="33"/>
      <c r="V53" s="33"/>
    </row>
    <row r="54" spans="1:22" ht="12.75">
      <c r="A54" s="33"/>
      <c r="B54" s="4">
        <v>102</v>
      </c>
      <c r="C54" s="33"/>
      <c r="D54" s="6"/>
      <c r="E54" s="7"/>
      <c r="F54" s="22"/>
      <c r="H54" s="12"/>
      <c r="N54" s="4" t="s">
        <v>0</v>
      </c>
      <c r="P54" s="193" t="s">
        <v>1</v>
      </c>
      <c r="S54" s="33"/>
      <c r="U54" s="33"/>
      <c r="V54" s="33"/>
    </row>
    <row r="55" spans="1:24" ht="12.75">
      <c r="A55" s="33"/>
      <c r="B55" s="33"/>
      <c r="C55" s="33"/>
      <c r="D55" s="12"/>
      <c r="E55" s="7"/>
      <c r="F55" s="22">
        <f>SUM(F49:F54)</f>
        <v>428351.7438389785</v>
      </c>
      <c r="H55" s="57"/>
      <c r="L55" s="4" t="s">
        <v>3</v>
      </c>
      <c r="M55" s="4">
        <f>B45*1000</f>
        <v>1820195.7904265323</v>
      </c>
      <c r="N55" s="4">
        <v>1624565.1895264366</v>
      </c>
      <c r="O55" s="4">
        <v>1220071.827419604</v>
      </c>
      <c r="P55" s="4">
        <f>H45</f>
        <v>9.34584864064217</v>
      </c>
      <c r="Q55" s="193">
        <v>4030.2180240822277</v>
      </c>
      <c r="R55" s="4">
        <v>3133.5736333643063</v>
      </c>
      <c r="S55" s="4">
        <f>J45</f>
        <v>23.79184697736068</v>
      </c>
      <c r="T55" s="4">
        <v>7441.804922087745</v>
      </c>
      <c r="U55" s="4">
        <v>5695.724470945474</v>
      </c>
      <c r="V55" s="4">
        <f>K45/1000</f>
        <v>38.94106762172532</v>
      </c>
      <c r="W55" s="4">
        <f>(V55/S55)*T55</f>
        <v>12180.299788177894</v>
      </c>
      <c r="X55" s="4">
        <f>56957244.7094547/1000</f>
        <v>56957.2447094547</v>
      </c>
    </row>
    <row r="56" spans="1:24" ht="12.75">
      <c r="A56" s="33"/>
      <c r="B56" s="33"/>
      <c r="C56" s="33"/>
      <c r="D56" s="6"/>
      <c r="E56" s="6"/>
      <c r="F56" s="22"/>
      <c r="H56" s="6"/>
      <c r="L56" s="4" t="s">
        <v>292</v>
      </c>
      <c r="M56" s="4">
        <f>B46*1000</f>
        <v>619701.6406612162</v>
      </c>
      <c r="N56" s="4">
        <v>778336.4028478665</v>
      </c>
      <c r="O56" s="4">
        <v>586053.3446815088</v>
      </c>
      <c r="P56" s="4">
        <f>H46</f>
        <v>10.92288688898268</v>
      </c>
      <c r="Q56" s="193">
        <v>4011.644247613036</v>
      </c>
      <c r="R56" s="4">
        <v>3124.518013461665</v>
      </c>
      <c r="S56" s="4">
        <f>J46</f>
        <v>15.84115387835741</v>
      </c>
      <c r="T56" s="4">
        <v>6346.653456156636</v>
      </c>
      <c r="U56" s="4">
        <v>4882.678047506191</v>
      </c>
      <c r="V56" s="4">
        <f>K46/1000</f>
        <v>30.89166034055905</v>
      </c>
      <c r="W56" s="4">
        <f>(V56/S56)*T56</f>
        <v>12376.539257956854</v>
      </c>
      <c r="X56" s="4">
        <f>34178746.3325433/1000</f>
        <v>34178.7463325433</v>
      </c>
    </row>
    <row r="57" spans="1:24" ht="12.75">
      <c r="A57" s="33"/>
      <c r="B57" s="33"/>
      <c r="C57" s="33"/>
      <c r="D57" s="33"/>
      <c r="E57" s="33"/>
      <c r="F57" s="56"/>
      <c r="H57" s="33"/>
      <c r="L57" s="4" t="s">
        <v>291</v>
      </c>
      <c r="M57" s="4">
        <f>B47*1000</f>
        <v>414509.42448108894</v>
      </c>
      <c r="N57" s="4">
        <v>515878.22123562155</v>
      </c>
      <c r="O57" s="4">
        <v>389709.7474706246</v>
      </c>
      <c r="P57" s="4">
        <f>H47</f>
        <v>8.747717532298028</v>
      </c>
      <c r="Q57" s="193">
        <v>3230.5123055473214</v>
      </c>
      <c r="R57" s="4">
        <v>2522.555870281594</v>
      </c>
      <c r="S57" s="4">
        <f>J47</f>
        <v>12.037474869449527</v>
      </c>
      <c r="T57" s="4">
        <v>4778.146969254186</v>
      </c>
      <c r="U57" s="4">
        <v>3691.6851126934675</v>
      </c>
      <c r="V57" s="4">
        <f>K47/1000</f>
        <v>23.02243710791634</v>
      </c>
      <c r="W57" s="4">
        <f>(V57/S57)*T57</f>
        <v>9138.510300961987</v>
      </c>
      <c r="X57" s="4">
        <f>25841795.7888543/1000</f>
        <v>25841.795788854302</v>
      </c>
    </row>
    <row r="58" spans="1:24" ht="12.75">
      <c r="A58" s="33"/>
      <c r="B58" s="33"/>
      <c r="C58" s="33"/>
      <c r="D58" s="33"/>
      <c r="E58" s="33"/>
      <c r="F58" s="56"/>
      <c r="H58" s="56"/>
      <c r="I58" s="56"/>
      <c r="J58" s="33"/>
      <c r="K58" s="33"/>
      <c r="L58" s="33"/>
      <c r="M58" s="33"/>
      <c r="N58" s="201"/>
      <c r="O58" s="178"/>
      <c r="P58" s="179"/>
      <c r="Q58" s="201"/>
      <c r="R58" s="178"/>
      <c r="S58" s="76"/>
      <c r="T58" s="201"/>
      <c r="U58" s="178"/>
      <c r="V58" s="76"/>
      <c r="W58" s="179"/>
      <c r="X58" s="179"/>
    </row>
    <row r="59" spans="1:24" ht="12.75">
      <c r="A59" s="56" t="s">
        <v>245</v>
      </c>
      <c r="B59" s="56" t="s">
        <v>246</v>
      </c>
      <c r="H59" s="24" t="s">
        <v>249</v>
      </c>
      <c r="I59" s="56" t="s">
        <v>247</v>
      </c>
      <c r="J59" s="56" t="s">
        <v>248</v>
      </c>
      <c r="K59" s="56" t="s">
        <v>250</v>
      </c>
      <c r="L59" s="56" t="s">
        <v>251</v>
      </c>
      <c r="M59" s="56" t="s">
        <v>252</v>
      </c>
      <c r="N59" s="201"/>
      <c r="O59" s="178"/>
      <c r="P59" s="179"/>
      <c r="Q59" s="201"/>
      <c r="R59" s="178"/>
      <c r="S59" s="76"/>
      <c r="T59" s="201"/>
      <c r="U59" s="178"/>
      <c r="V59" s="76"/>
      <c r="W59" s="179"/>
      <c r="X59" s="179"/>
    </row>
    <row r="60" spans="1:24" ht="12.75">
      <c r="A60" s="56" t="s">
        <v>286</v>
      </c>
      <c r="B60" s="56">
        <v>1</v>
      </c>
      <c r="H60" s="24">
        <f>($B$45)*B60</f>
        <v>1820.1957904265323</v>
      </c>
      <c r="I60" s="56">
        <v>126</v>
      </c>
      <c r="J60" s="24">
        <f>($H$45)*I60</f>
        <v>1177.5769287209134</v>
      </c>
      <c r="K60" s="24">
        <f>+H60+J60</f>
        <v>2997.772719147446</v>
      </c>
      <c r="L60" s="24">
        <f>($B$46*B60)+($H$46*I60)</f>
        <v>1995.9853886730339</v>
      </c>
      <c r="M60" s="24">
        <f>($B$47*B60)+($H$47*I60)</f>
        <v>1516.7218335506404</v>
      </c>
      <c r="N60" s="178"/>
      <c r="O60" s="178"/>
      <c r="P60" s="179"/>
      <c r="Q60" s="178">
        <f>K60*13</f>
        <v>38971.0453489168</v>
      </c>
      <c r="R60" s="178"/>
      <c r="S60" s="178"/>
      <c r="T60" s="76"/>
      <c r="U60" s="178"/>
      <c r="V60" s="76"/>
      <c r="W60" s="76"/>
      <c r="X60" s="201"/>
    </row>
    <row r="61" spans="1:24" ht="12.75">
      <c r="A61" s="33"/>
      <c r="B61" s="33"/>
      <c r="C61" s="33"/>
      <c r="D61" s="33"/>
      <c r="E61" s="33"/>
      <c r="F61" s="56"/>
      <c r="G61" s="33"/>
      <c r="J61" s="33"/>
      <c r="K61" s="33"/>
      <c r="L61" s="33"/>
      <c r="M61" s="33"/>
      <c r="N61" s="178"/>
      <c r="O61" s="178"/>
      <c r="P61" s="179"/>
      <c r="Q61" s="178"/>
      <c r="R61" s="178"/>
      <c r="S61" s="178"/>
      <c r="T61" s="76"/>
      <c r="U61" s="178"/>
      <c r="V61" s="76"/>
      <c r="W61" s="76"/>
      <c r="X61" s="201"/>
    </row>
    <row r="62" spans="1:22" ht="12.75">
      <c r="A62" s="33"/>
      <c r="B62" s="75"/>
      <c r="C62" s="33"/>
      <c r="D62" s="33"/>
      <c r="E62" s="33"/>
      <c r="F62" s="56"/>
      <c r="G62" s="33"/>
      <c r="H62" s="33"/>
      <c r="I62" s="33"/>
      <c r="J62" s="33"/>
      <c r="K62" s="33"/>
      <c r="L62" s="33"/>
      <c r="M62" s="33"/>
      <c r="N62" s="33"/>
      <c r="O62" s="33"/>
      <c r="Q62" s="33"/>
      <c r="R62" s="33"/>
      <c r="S62" s="33"/>
      <c r="U62" s="33"/>
      <c r="V62" s="33"/>
    </row>
    <row r="63" spans="1:22" ht="12.75">
      <c r="A63" s="33"/>
      <c r="B63" s="75"/>
      <c r="C63" s="33"/>
      <c r="D63" s="33"/>
      <c r="E63" s="33"/>
      <c r="F63" s="56"/>
      <c r="G63" s="33"/>
      <c r="H63" s="33"/>
      <c r="I63" s="33"/>
      <c r="J63" s="33"/>
      <c r="K63" s="33"/>
      <c r="L63" s="33"/>
      <c r="M63" s="33"/>
      <c r="N63" s="33"/>
      <c r="O63" s="33"/>
      <c r="Q63" s="33"/>
      <c r="R63" s="33"/>
      <c r="S63" s="33"/>
      <c r="U63" s="33"/>
      <c r="V63" s="33"/>
    </row>
    <row r="64" spans="1:22" ht="12.75">
      <c r="A64" s="33"/>
      <c r="B64" s="75"/>
      <c r="C64" s="33"/>
      <c r="D64" s="33"/>
      <c r="E64" s="33"/>
      <c r="F64" s="56"/>
      <c r="G64" s="33"/>
      <c r="H64" s="33"/>
      <c r="I64" s="33"/>
      <c r="J64" s="33"/>
      <c r="K64" s="33"/>
      <c r="L64" s="33"/>
      <c r="M64" s="33"/>
      <c r="N64" s="33"/>
      <c r="O64" s="33"/>
      <c r="Q64" s="33"/>
      <c r="R64" s="33"/>
      <c r="S64" s="33"/>
      <c r="U64" s="33"/>
      <c r="V64" s="33"/>
    </row>
    <row r="65" spans="1:22" ht="12.75">
      <c r="A65" s="33"/>
      <c r="B65" s="75"/>
      <c r="C65" s="33"/>
      <c r="D65" s="33"/>
      <c r="E65" s="33"/>
      <c r="F65" s="56"/>
      <c r="G65" s="33"/>
      <c r="H65" s="33"/>
      <c r="I65" s="33"/>
      <c r="J65" s="33"/>
      <c r="K65" s="33"/>
      <c r="L65" s="33"/>
      <c r="M65" s="33"/>
      <c r="N65" s="33"/>
      <c r="O65" s="33"/>
      <c r="Q65" s="33"/>
      <c r="R65" s="33"/>
      <c r="S65" s="33"/>
      <c r="U65" s="33"/>
      <c r="V65" s="33"/>
    </row>
    <row r="66" spans="1:22" ht="12.75">
      <c r="A66" s="33"/>
      <c r="B66" s="75"/>
      <c r="C66" s="33"/>
      <c r="D66" s="33"/>
      <c r="E66" s="33"/>
      <c r="F66" s="56"/>
      <c r="G66" s="33"/>
      <c r="H66" s="33"/>
      <c r="I66" s="33"/>
      <c r="J66" s="33"/>
      <c r="K66" s="33"/>
      <c r="L66" s="33"/>
      <c r="M66" s="33"/>
      <c r="N66" s="33"/>
      <c r="O66" s="33"/>
      <c r="Q66" s="33"/>
      <c r="R66" s="33"/>
      <c r="S66" s="33"/>
      <c r="U66" s="33"/>
      <c r="V66" s="33"/>
    </row>
    <row r="67" spans="1:22" ht="12.75">
      <c r="A67" s="33"/>
      <c r="B67" s="75"/>
      <c r="C67" s="33"/>
      <c r="D67" s="33"/>
      <c r="E67" s="33"/>
      <c r="F67" s="56"/>
      <c r="G67" s="33"/>
      <c r="H67" s="33"/>
      <c r="I67" s="33"/>
      <c r="J67" s="33"/>
      <c r="K67" s="33"/>
      <c r="L67" s="33"/>
      <c r="M67" s="33"/>
      <c r="N67" s="33"/>
      <c r="O67" s="33"/>
      <c r="Q67" s="33"/>
      <c r="R67" s="33"/>
      <c r="S67" s="33"/>
      <c r="U67" s="33"/>
      <c r="V67" s="33"/>
    </row>
    <row r="68" spans="1:22" ht="12.75">
      <c r="A68" s="33"/>
      <c r="B68" s="75"/>
      <c r="C68" s="33"/>
      <c r="D68" s="33"/>
      <c r="E68" s="33"/>
      <c r="F68" s="56"/>
      <c r="G68" s="33"/>
      <c r="H68" s="33"/>
      <c r="I68" s="33"/>
      <c r="J68" s="33"/>
      <c r="K68" s="33"/>
      <c r="L68" s="33"/>
      <c r="M68" s="33"/>
      <c r="N68" s="33"/>
      <c r="O68" s="33"/>
      <c r="Q68" s="33"/>
      <c r="R68" s="33"/>
      <c r="S68" s="33"/>
      <c r="U68" s="33"/>
      <c r="V68" s="33"/>
    </row>
    <row r="69" spans="1:22" ht="12.75">
      <c r="A69" s="33"/>
      <c r="B69" s="75"/>
      <c r="C69" s="33"/>
      <c r="D69" s="33"/>
      <c r="E69" s="33"/>
      <c r="F69" s="56"/>
      <c r="G69" s="33"/>
      <c r="H69" s="33"/>
      <c r="I69" s="33"/>
      <c r="J69" s="33"/>
      <c r="K69" s="33"/>
      <c r="L69" s="33"/>
      <c r="M69" s="33"/>
      <c r="N69" s="33"/>
      <c r="O69" s="33"/>
      <c r="Q69" s="33"/>
      <c r="R69" s="33"/>
      <c r="S69" s="33"/>
      <c r="U69" s="33"/>
      <c r="V69" s="33"/>
    </row>
    <row r="70" spans="1:22" ht="12.75">
      <c r="A70" s="33"/>
      <c r="B70" s="33"/>
      <c r="C70" s="33"/>
      <c r="D70" s="33"/>
      <c r="E70" s="33"/>
      <c r="F70" s="56"/>
      <c r="G70" s="33"/>
      <c r="H70" s="33"/>
      <c r="I70" s="33"/>
      <c r="J70" s="33"/>
      <c r="K70" s="33"/>
      <c r="L70" s="33"/>
      <c r="M70" s="33"/>
      <c r="N70" s="33"/>
      <c r="O70" s="33"/>
      <c r="Q70" s="33"/>
      <c r="R70" s="33"/>
      <c r="S70" s="33"/>
      <c r="U70" s="33"/>
      <c r="V70" s="33"/>
    </row>
    <row r="71" spans="1:22" ht="12.75">
      <c r="A71" s="33"/>
      <c r="B71" s="33"/>
      <c r="C71" s="33"/>
      <c r="D71" s="33"/>
      <c r="E71" s="33"/>
      <c r="F71" s="56"/>
      <c r="G71" s="33"/>
      <c r="H71" s="33"/>
      <c r="I71" s="33"/>
      <c r="J71" s="33"/>
      <c r="K71" s="33"/>
      <c r="L71" s="33"/>
      <c r="M71" s="33"/>
      <c r="N71" s="33"/>
      <c r="O71" s="33"/>
      <c r="Q71" s="33"/>
      <c r="R71" s="33"/>
      <c r="S71" s="33"/>
      <c r="U71" s="33"/>
      <c r="V71" s="33"/>
    </row>
    <row r="72" spans="1:22" ht="12.75">
      <c r="A72" s="33"/>
      <c r="B72" s="33"/>
      <c r="C72" s="33"/>
      <c r="D72" s="33"/>
      <c r="E72" s="33"/>
      <c r="F72" s="56"/>
      <c r="G72" s="33"/>
      <c r="H72" s="33"/>
      <c r="I72" s="33"/>
      <c r="J72" s="33"/>
      <c r="K72" s="33"/>
      <c r="L72" s="33"/>
      <c r="M72" s="33"/>
      <c r="N72" s="33"/>
      <c r="O72" s="33"/>
      <c r="Q72" s="33"/>
      <c r="R72" s="33"/>
      <c r="S72" s="33"/>
      <c r="T72" s="33"/>
      <c r="U72" s="33"/>
      <c r="V72" s="33"/>
    </row>
    <row r="73" spans="1:22" ht="12.75">
      <c r="A73" s="33"/>
      <c r="B73" s="33"/>
      <c r="C73" s="33"/>
      <c r="D73" s="33"/>
      <c r="E73" s="33"/>
      <c r="F73" s="56"/>
      <c r="G73" s="33"/>
      <c r="H73" s="33"/>
      <c r="I73" s="33"/>
      <c r="J73" s="33"/>
      <c r="K73" s="33"/>
      <c r="L73" s="33"/>
      <c r="M73" s="33"/>
      <c r="N73" s="33"/>
      <c r="O73" s="33"/>
      <c r="Q73" s="33"/>
      <c r="R73" s="33"/>
      <c r="S73" s="33"/>
      <c r="T73" s="33"/>
      <c r="U73" s="33"/>
      <c r="V73" s="33"/>
    </row>
    <row r="74" spans="1:22" ht="12.75">
      <c r="A74" s="33"/>
      <c r="B74" s="33"/>
      <c r="C74" s="33"/>
      <c r="D74" s="33"/>
      <c r="E74" s="33"/>
      <c r="F74" s="56"/>
      <c r="G74" s="33"/>
      <c r="H74" s="33"/>
      <c r="I74" s="33"/>
      <c r="J74" s="33"/>
      <c r="K74" s="33"/>
      <c r="L74" s="33"/>
      <c r="M74" s="33"/>
      <c r="N74" s="33"/>
      <c r="O74" s="33"/>
      <c r="Q74" s="33"/>
      <c r="R74" s="33"/>
      <c r="S74" s="33"/>
      <c r="T74" s="33"/>
      <c r="U74" s="33"/>
      <c r="V74" s="33"/>
    </row>
    <row r="75" spans="1:22" ht="12.75">
      <c r="A75" s="33"/>
      <c r="B75" s="33"/>
      <c r="C75" s="33"/>
      <c r="D75" s="33"/>
      <c r="E75" s="33"/>
      <c r="F75" s="56"/>
      <c r="G75" s="33"/>
      <c r="H75" s="33"/>
      <c r="I75" s="33"/>
      <c r="J75" s="33"/>
      <c r="K75" s="33"/>
      <c r="L75" s="33"/>
      <c r="M75" s="33"/>
      <c r="N75" s="33"/>
      <c r="O75" s="33"/>
      <c r="Q75" s="33"/>
      <c r="R75" s="33"/>
      <c r="S75" s="33"/>
      <c r="T75" s="33"/>
      <c r="U75" s="33"/>
      <c r="V75" s="33"/>
    </row>
    <row r="76" spans="1:22" ht="12.75">
      <c r="A76" s="33"/>
      <c r="B76" s="33"/>
      <c r="C76" s="33"/>
      <c r="D76" s="33"/>
      <c r="E76" s="33"/>
      <c r="F76" s="56"/>
      <c r="G76" s="33"/>
      <c r="H76" s="33"/>
      <c r="I76" s="33"/>
      <c r="J76" s="33"/>
      <c r="K76" s="33"/>
      <c r="L76" s="33"/>
      <c r="M76" s="33"/>
      <c r="N76" s="33"/>
      <c r="O76" s="33"/>
      <c r="Q76" s="33"/>
      <c r="R76" s="33"/>
      <c r="S76" s="33"/>
      <c r="T76" s="33"/>
      <c r="U76" s="33"/>
      <c r="V76" s="33"/>
    </row>
    <row r="77" spans="1:22" ht="12.75">
      <c r="A77" s="33"/>
      <c r="B77" s="33"/>
      <c r="C77" s="33"/>
      <c r="D77" s="33"/>
      <c r="E77" s="33"/>
      <c r="F77" s="56"/>
      <c r="G77" s="33"/>
      <c r="H77" s="33"/>
      <c r="I77" s="33"/>
      <c r="J77" s="33"/>
      <c r="K77" s="33"/>
      <c r="L77" s="33"/>
      <c r="M77" s="33"/>
      <c r="N77" s="33"/>
      <c r="O77" s="33"/>
      <c r="Q77" s="33"/>
      <c r="R77" s="33"/>
      <c r="S77" s="33"/>
      <c r="T77" s="33"/>
      <c r="U77" s="33"/>
      <c r="V77" s="33"/>
    </row>
    <row r="78" spans="1:22" ht="12.75">
      <c r="A78" s="33"/>
      <c r="B78" s="33"/>
      <c r="C78" s="33"/>
      <c r="D78" s="33"/>
      <c r="E78" s="33"/>
      <c r="F78" s="56"/>
      <c r="G78" s="33"/>
      <c r="H78" s="33"/>
      <c r="I78" s="33"/>
      <c r="J78" s="33"/>
      <c r="K78" s="33"/>
      <c r="L78" s="33"/>
      <c r="M78" s="33"/>
      <c r="N78" s="33"/>
      <c r="O78" s="33"/>
      <c r="Q78" s="33"/>
      <c r="R78" s="33"/>
      <c r="S78" s="33"/>
      <c r="T78" s="33"/>
      <c r="U78" s="33"/>
      <c r="V78" s="33"/>
    </row>
    <row r="79" spans="1:22" ht="12.75">
      <c r="A79" s="33"/>
      <c r="B79" s="33"/>
      <c r="C79" s="33"/>
      <c r="D79" s="33"/>
      <c r="E79" s="33"/>
      <c r="F79" s="56"/>
      <c r="G79" s="33"/>
      <c r="H79" s="33"/>
      <c r="I79" s="33"/>
      <c r="J79" s="33"/>
      <c r="K79" s="33"/>
      <c r="L79" s="33"/>
      <c r="M79" s="33"/>
      <c r="N79" s="33"/>
      <c r="O79" s="33"/>
      <c r="Q79" s="33"/>
      <c r="R79" s="33"/>
      <c r="S79" s="33"/>
      <c r="T79" s="33"/>
      <c r="U79" s="33"/>
      <c r="V79" s="33"/>
    </row>
    <row r="80" spans="1:22" ht="12.75">
      <c r="A80" s="33"/>
      <c r="B80" s="33"/>
      <c r="C80" s="33"/>
      <c r="D80" s="33"/>
      <c r="E80" s="33"/>
      <c r="F80" s="56"/>
      <c r="G80" s="33"/>
      <c r="H80" s="33"/>
      <c r="I80" s="33"/>
      <c r="J80" s="33"/>
      <c r="K80" s="33"/>
      <c r="L80" s="33"/>
      <c r="M80" s="33"/>
      <c r="N80" s="33"/>
      <c r="O80" s="33"/>
      <c r="Q80" s="33"/>
      <c r="R80" s="33"/>
      <c r="S80" s="33"/>
      <c r="T80" s="33"/>
      <c r="U80" s="33"/>
      <c r="V80" s="33"/>
    </row>
    <row r="81" spans="1:22" ht="12.75">
      <c r="A81" s="33"/>
      <c r="B81" s="33"/>
      <c r="C81" s="33"/>
      <c r="D81" s="33"/>
      <c r="E81" s="33"/>
      <c r="F81" s="56"/>
      <c r="G81" s="33"/>
      <c r="H81" s="33"/>
      <c r="I81" s="33"/>
      <c r="J81" s="33"/>
      <c r="K81" s="33"/>
      <c r="L81" s="33"/>
      <c r="M81" s="33"/>
      <c r="N81" s="33"/>
      <c r="O81" s="33"/>
      <c r="Q81" s="33"/>
      <c r="R81" s="33"/>
      <c r="S81" s="33"/>
      <c r="T81" s="33"/>
      <c r="U81" s="33"/>
      <c r="V81" s="33"/>
    </row>
    <row r="82" spans="1:22" ht="12.75">
      <c r="A82" s="33"/>
      <c r="B82" s="33"/>
      <c r="C82" s="33"/>
      <c r="D82" s="33"/>
      <c r="E82" s="33"/>
      <c r="F82" s="56"/>
      <c r="G82" s="33"/>
      <c r="H82" s="33"/>
      <c r="I82" s="33"/>
      <c r="J82" s="33"/>
      <c r="K82" s="33"/>
      <c r="L82" s="33"/>
      <c r="M82" s="33"/>
      <c r="N82" s="33"/>
      <c r="O82" s="33"/>
      <c r="Q82" s="33"/>
      <c r="R82" s="33"/>
      <c r="S82" s="33"/>
      <c r="T82" s="33"/>
      <c r="U82" s="33"/>
      <c r="V82" s="33"/>
    </row>
    <row r="83" spans="1:22" ht="12.75">
      <c r="A83" s="33"/>
      <c r="B83" s="33"/>
      <c r="C83" s="33"/>
      <c r="D83" s="33"/>
      <c r="E83" s="33"/>
      <c r="F83" s="56"/>
      <c r="G83" s="33"/>
      <c r="H83" s="33"/>
      <c r="I83" s="33"/>
      <c r="J83" s="33"/>
      <c r="K83" s="33"/>
      <c r="L83" s="33"/>
      <c r="M83" s="33"/>
      <c r="N83" s="33"/>
      <c r="O83" s="33"/>
      <c r="Q83" s="33"/>
      <c r="R83" s="33"/>
      <c r="S83" s="33"/>
      <c r="T83" s="33"/>
      <c r="U83" s="33"/>
      <c r="V83" s="33"/>
    </row>
    <row r="84" spans="1:22" ht="12.75">
      <c r="A84" s="33"/>
      <c r="B84" s="33"/>
      <c r="C84" s="33"/>
      <c r="D84" s="33"/>
      <c r="E84" s="33"/>
      <c r="F84" s="56"/>
      <c r="G84" s="33"/>
      <c r="H84" s="33"/>
      <c r="I84" s="33"/>
      <c r="J84" s="33"/>
      <c r="K84" s="33"/>
      <c r="L84" s="33"/>
      <c r="M84" s="33"/>
      <c r="N84" s="33"/>
      <c r="O84" s="33"/>
      <c r="Q84" s="33"/>
      <c r="R84" s="33"/>
      <c r="S84" s="33"/>
      <c r="T84" s="33"/>
      <c r="U84" s="33"/>
      <c r="V84" s="33"/>
    </row>
    <row r="85" spans="1:22" ht="12.75">
      <c r="A85" s="33"/>
      <c r="B85" s="33"/>
      <c r="C85" s="33"/>
      <c r="D85" s="33"/>
      <c r="E85" s="33"/>
      <c r="F85" s="56"/>
      <c r="G85" s="33"/>
      <c r="H85" s="33"/>
      <c r="I85" s="33"/>
      <c r="J85" s="33"/>
      <c r="K85" s="33"/>
      <c r="L85" s="33"/>
      <c r="M85" s="33"/>
      <c r="N85" s="33"/>
      <c r="O85" s="33"/>
      <c r="Q85" s="33"/>
      <c r="R85" s="33"/>
      <c r="S85" s="33"/>
      <c r="T85" s="33"/>
      <c r="U85" s="33"/>
      <c r="V85" s="33"/>
    </row>
    <row r="86" spans="1:22" ht="12.75">
      <c r="A86" s="33"/>
      <c r="B86" s="33"/>
      <c r="C86" s="33"/>
      <c r="D86" s="33"/>
      <c r="E86" s="33"/>
      <c r="F86" s="56"/>
      <c r="G86" s="33"/>
      <c r="H86" s="33"/>
      <c r="I86" s="33"/>
      <c r="J86" s="33"/>
      <c r="K86" s="33"/>
      <c r="L86" s="33"/>
      <c r="M86" s="33"/>
      <c r="N86" s="33"/>
      <c r="O86" s="33"/>
      <c r="Q86" s="33"/>
      <c r="R86" s="33"/>
      <c r="S86" s="33"/>
      <c r="T86" s="33"/>
      <c r="U86" s="33"/>
      <c r="V86" s="33"/>
    </row>
    <row r="87" spans="1:22" ht="12.75">
      <c r="A87" s="33"/>
      <c r="B87" s="33"/>
      <c r="C87" s="33"/>
      <c r="D87" s="33"/>
      <c r="E87" s="33"/>
      <c r="F87" s="56"/>
      <c r="G87" s="33"/>
      <c r="H87" s="33"/>
      <c r="I87" s="33"/>
      <c r="J87" s="33"/>
      <c r="K87" s="33"/>
      <c r="L87" s="33"/>
      <c r="M87" s="33"/>
      <c r="N87" s="33"/>
      <c r="O87" s="33"/>
      <c r="Q87" s="33"/>
      <c r="R87" s="33"/>
      <c r="S87" s="33"/>
      <c r="T87" s="33"/>
      <c r="U87" s="33"/>
      <c r="V87" s="33"/>
    </row>
    <row r="88" spans="1:22" ht="12.75">
      <c r="A88" s="33"/>
      <c r="B88" s="33"/>
      <c r="C88" s="33"/>
      <c r="D88" s="33"/>
      <c r="E88" s="33"/>
      <c r="F88" s="56"/>
      <c r="G88" s="33"/>
      <c r="H88" s="33"/>
      <c r="I88" s="33"/>
      <c r="J88" s="33"/>
      <c r="K88" s="33"/>
      <c r="L88" s="33"/>
      <c r="M88" s="33"/>
      <c r="N88" s="33"/>
      <c r="O88" s="33"/>
      <c r="Q88" s="33"/>
      <c r="R88" s="33"/>
      <c r="S88" s="33"/>
      <c r="T88" s="33"/>
      <c r="U88" s="33"/>
      <c r="V88" s="33"/>
    </row>
    <row r="89" spans="1:22" ht="12.75">
      <c r="A89" s="33"/>
      <c r="B89" s="33"/>
      <c r="C89" s="33"/>
      <c r="D89" s="33"/>
      <c r="E89" s="33"/>
      <c r="F89" s="56"/>
      <c r="G89" s="33"/>
      <c r="H89" s="33"/>
      <c r="I89" s="33"/>
      <c r="J89" s="33"/>
      <c r="K89" s="33"/>
      <c r="L89" s="33"/>
      <c r="M89" s="33"/>
      <c r="N89" s="33"/>
      <c r="O89" s="33"/>
      <c r="Q89" s="33"/>
      <c r="R89" s="33"/>
      <c r="S89" s="33"/>
      <c r="T89" s="33"/>
      <c r="U89" s="33"/>
      <c r="V89" s="3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3:G26"/>
  <sheetViews>
    <sheetView zoomScalePageLayoutView="0" workbookViewId="0" topLeftCell="A1">
      <selection activeCell="K2" sqref="K2"/>
    </sheetView>
  </sheetViews>
  <sheetFormatPr defaultColWidth="11.421875" defaultRowHeight="12.75"/>
  <cols>
    <col min="1" max="1" width="11.421875" style="0" customWidth="1"/>
    <col min="2" max="2" width="11.421875" style="59" customWidth="1"/>
    <col min="3" max="3" width="11.421875" style="0" customWidth="1"/>
    <col min="4" max="4" width="11.421875" style="58" customWidth="1"/>
    <col min="5" max="6" width="11.421875" style="0" customWidth="1"/>
    <col min="7" max="7" width="11.421875" style="58" customWidth="1"/>
  </cols>
  <sheetData>
    <row r="3" spans="2:7" ht="12.75">
      <c r="B3" s="59" t="s">
        <v>258</v>
      </c>
      <c r="D3" s="58" t="s">
        <v>259</v>
      </c>
      <c r="G3" s="58" t="s">
        <v>260</v>
      </c>
    </row>
    <row r="5" spans="2:7" ht="12.75">
      <c r="B5" s="59" t="s">
        <v>263</v>
      </c>
      <c r="D5" s="58">
        <v>12600</v>
      </c>
      <c r="E5" t="s">
        <v>264</v>
      </c>
      <c r="G5" s="58">
        <f>D5/10</f>
        <v>1260</v>
      </c>
    </row>
    <row r="6" spans="2:7" ht="12.75">
      <c r="B6" s="59" t="s">
        <v>262</v>
      </c>
      <c r="D6" s="58">
        <v>8645</v>
      </c>
      <c r="G6" s="58">
        <f>D6/10</f>
        <v>864.5</v>
      </c>
    </row>
    <row r="7" spans="2:7" ht="12.75">
      <c r="B7" s="59" t="s">
        <v>261</v>
      </c>
      <c r="D7" s="58">
        <v>2157</v>
      </c>
      <c r="G7" s="58">
        <f>D7/4</f>
        <v>539.25</v>
      </c>
    </row>
    <row r="8" spans="2:7" ht="12.75">
      <c r="B8" s="59">
        <v>2002</v>
      </c>
      <c r="D8" s="58">
        <v>482</v>
      </c>
      <c r="G8" s="58">
        <v>482</v>
      </c>
    </row>
    <row r="9" spans="2:7" ht="12.75">
      <c r="B9" s="59">
        <v>2003</v>
      </c>
      <c r="D9" s="58">
        <v>166</v>
      </c>
      <c r="G9" s="58">
        <f>D9</f>
        <v>166</v>
      </c>
    </row>
    <row r="12" spans="2:7" ht="12.75">
      <c r="B12" s="60" t="s">
        <v>271</v>
      </c>
      <c r="F12" s="58">
        <f>D5+D6</f>
        <v>21245</v>
      </c>
      <c r="G12" s="58">
        <v>25000</v>
      </c>
    </row>
    <row r="16" spans="2:7" ht="12.75">
      <c r="B16" s="59" t="s">
        <v>258</v>
      </c>
      <c r="C16" s="58" t="s">
        <v>265</v>
      </c>
      <c r="D16" t="s">
        <v>267</v>
      </c>
      <c r="F16" s="58" t="s">
        <v>269</v>
      </c>
      <c r="G16" s="58" t="s">
        <v>268</v>
      </c>
    </row>
    <row r="17" spans="2:7" ht="12.75">
      <c r="B17" s="59" t="s">
        <v>266</v>
      </c>
      <c r="C17" s="58"/>
      <c r="D17"/>
      <c r="F17" s="58"/>
      <c r="G17"/>
    </row>
    <row r="18" spans="2:7" ht="12.75">
      <c r="B18" s="59">
        <v>2000</v>
      </c>
      <c r="C18" s="61">
        <v>184.6</v>
      </c>
      <c r="D18"/>
      <c r="F18" s="58"/>
      <c r="G18" s="58">
        <v>100000</v>
      </c>
    </row>
    <row r="19" spans="2:7" ht="12.75">
      <c r="B19" s="59">
        <v>2001</v>
      </c>
      <c r="C19" s="61">
        <v>207.9</v>
      </c>
      <c r="D19" s="62">
        <f>(C19-C18)/C18</f>
        <v>0.12621885157096432</v>
      </c>
      <c r="F19" s="62">
        <v>0.1</v>
      </c>
      <c r="G19" s="58">
        <f>G18*(1+F19)</f>
        <v>110000.00000000001</v>
      </c>
    </row>
    <row r="20" spans="2:7" ht="12.75">
      <c r="B20" s="59">
        <v>2002</v>
      </c>
      <c r="C20" s="61">
        <v>233.4</v>
      </c>
      <c r="D20" s="62">
        <f>(C20-C19)/C19</f>
        <v>0.12265512265512266</v>
      </c>
      <c r="F20" s="62">
        <v>0.1</v>
      </c>
      <c r="G20" s="58">
        <f>G19*(1+F20)</f>
        <v>121000.00000000003</v>
      </c>
    </row>
    <row r="21" spans="2:7" ht="12.75">
      <c r="B21" s="59">
        <v>2003</v>
      </c>
      <c r="C21" s="61">
        <v>312.3</v>
      </c>
      <c r="D21" s="62">
        <f>(C21-C20)/C20</f>
        <v>0.3380462724935733</v>
      </c>
      <c r="F21" s="62">
        <v>0.1</v>
      </c>
      <c r="G21" s="58">
        <f>G20*(1+F21)</f>
        <v>133100.00000000003</v>
      </c>
    </row>
    <row r="22" spans="2:7" ht="12.75">
      <c r="B22" s="59">
        <v>2004</v>
      </c>
      <c r="C22" s="61">
        <v>395.4</v>
      </c>
      <c r="D22" s="62">
        <f>(C22-C21)/C21</f>
        <v>0.26609029779058585</v>
      </c>
      <c r="F22" s="62">
        <v>0.1</v>
      </c>
      <c r="G22" s="58">
        <f>G21*(1+F22)</f>
        <v>146410.00000000006</v>
      </c>
    </row>
    <row r="23" spans="4:7" ht="12.75">
      <c r="D23" s="61"/>
      <c r="E23" s="62"/>
      <c r="F23" s="58"/>
      <c r="G23"/>
    </row>
    <row r="24" spans="3:7" ht="12.75">
      <c r="C24" s="58" t="s">
        <v>23</v>
      </c>
      <c r="D24" s="62">
        <f>(C22-C18)/C18</f>
        <v>1.14192849404117</v>
      </c>
      <c r="F24" s="58"/>
      <c r="G24" s="63">
        <f>(G22-G18)/G18</f>
        <v>0.46410000000000057</v>
      </c>
    </row>
    <row r="25" spans="6:7" ht="12.75">
      <c r="F25" s="58"/>
      <c r="G25" s="58">
        <f>G18*(1+D24)</f>
        <v>214192.84940411698</v>
      </c>
    </row>
    <row r="26" spans="4:7" ht="12.75">
      <c r="D26" t="s">
        <v>270</v>
      </c>
      <c r="F26" s="58"/>
      <c r="G26" s="63">
        <f>((G18*(1+D24))-(G22))/G22</f>
        <v>0.462965981859961</v>
      </c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3"/>
  <sheetViews>
    <sheetView zoomScalePageLayoutView="0" workbookViewId="0" topLeftCell="A32">
      <selection activeCell="K45" sqref="K45"/>
    </sheetView>
  </sheetViews>
  <sheetFormatPr defaultColWidth="11.421875" defaultRowHeight="12.75"/>
  <cols>
    <col min="1" max="1" width="20.421875" style="4" customWidth="1"/>
    <col min="2" max="2" width="12.140625" style="4" customWidth="1"/>
    <col min="3" max="3" width="10.8515625" style="4" customWidth="1"/>
    <col min="4" max="4" width="12.8515625" style="4" customWidth="1"/>
    <col min="5" max="5" width="13.28125" style="4" bestFit="1" customWidth="1"/>
    <col min="6" max="6" width="11.7109375" style="24" hidden="1" customWidth="1"/>
    <col min="7" max="7" width="11.57421875" style="4" hidden="1" customWidth="1"/>
    <col min="8" max="8" width="11.57421875" style="4" customWidth="1"/>
    <col min="9" max="9" width="11.140625" style="4" customWidth="1"/>
    <col min="10" max="10" width="10.140625" style="4" customWidth="1"/>
    <col min="11" max="11" width="12.140625" style="4" bestFit="1" customWidth="1"/>
    <col min="12" max="12" width="10.140625" style="4" hidden="1" customWidth="1"/>
    <col min="13" max="13" width="12.140625" style="4" hidden="1" customWidth="1"/>
    <col min="14" max="14" width="10.28125" style="4" hidden="1" customWidth="1"/>
    <col min="15" max="15" width="10.8515625" style="4" hidden="1" customWidth="1"/>
    <col min="16" max="16" width="7.8515625" style="32" customWidth="1"/>
    <col min="17" max="17" width="14.421875" style="4" customWidth="1"/>
    <col min="18" max="18" width="13.7109375" style="4" customWidth="1"/>
    <col min="19" max="20" width="11.421875" style="4" customWidth="1"/>
    <col min="21" max="21" width="10.8515625" style="4" customWidth="1"/>
    <col min="22" max="23" width="6.7109375" style="4" bestFit="1" customWidth="1"/>
    <col min="24" max="24" width="8.421875" style="4" bestFit="1" customWidth="1"/>
    <col min="25" max="25" width="12.28125" style="4" bestFit="1" customWidth="1"/>
    <col min="26" max="26" width="10.8515625" style="4" bestFit="1" customWidth="1"/>
    <col min="27" max="27" width="13.8515625" style="4" bestFit="1" customWidth="1"/>
    <col min="28" max="28" width="11.00390625" style="4" customWidth="1"/>
    <col min="29" max="29" width="13.00390625" style="4" bestFit="1" customWidth="1"/>
    <col min="30" max="30" width="12.28125" style="4" bestFit="1" customWidth="1"/>
    <col min="31" max="31" width="13.140625" style="4" bestFit="1" customWidth="1"/>
    <col min="32" max="32" width="12.8515625" style="4" bestFit="1" customWidth="1"/>
    <col min="33" max="33" width="16.57421875" style="4" bestFit="1" customWidth="1"/>
    <col min="34" max="34" width="12.00390625" style="4" customWidth="1"/>
    <col min="35" max="35" width="11.57421875" style="4" bestFit="1" customWidth="1"/>
    <col min="36" max="36" width="13.7109375" style="4" bestFit="1" customWidth="1"/>
    <col min="37" max="37" width="12.28125" style="4" customWidth="1"/>
    <col min="38" max="38" width="12.7109375" style="4" bestFit="1" customWidth="1"/>
    <col min="39" max="39" width="10.8515625" style="4" bestFit="1" customWidth="1"/>
    <col min="40" max="40" width="11.28125" style="4" bestFit="1" customWidth="1"/>
    <col min="41" max="41" width="13.00390625" style="4" bestFit="1" customWidth="1"/>
    <col min="42" max="42" width="14.421875" style="4" bestFit="1" customWidth="1"/>
    <col min="43" max="43" width="12.421875" style="4" bestFit="1" customWidth="1"/>
    <col min="44" max="44" width="11.57421875" style="4" bestFit="1" customWidth="1"/>
    <col min="45" max="45" width="12.00390625" style="4" bestFit="1" customWidth="1"/>
    <col min="46" max="46" width="12.28125" style="4" bestFit="1" customWidth="1"/>
    <col min="47" max="47" width="13.7109375" style="4" customWidth="1"/>
    <col min="48" max="48" width="10.57421875" style="4" bestFit="1" customWidth="1"/>
    <col min="49" max="49" width="10.57421875" style="4" customWidth="1"/>
    <col min="50" max="50" width="12.28125" style="4" customWidth="1"/>
    <col min="51" max="51" width="11.28125" style="4" customWidth="1"/>
    <col min="52" max="52" width="11.57421875" style="4" customWidth="1"/>
    <col min="53" max="53" width="12.00390625" style="4" customWidth="1"/>
    <col min="54" max="54" width="11.57421875" style="4" customWidth="1"/>
    <col min="55" max="56" width="12.140625" style="4" customWidth="1"/>
    <col min="57" max="57" width="10.8515625" style="4" customWidth="1"/>
    <col min="58" max="58" width="11.57421875" style="4" customWidth="1"/>
    <col min="59" max="60" width="13.57421875" style="4" bestFit="1" customWidth="1"/>
    <col min="61" max="61" width="17.28125" style="4" customWidth="1"/>
    <col min="62" max="62" width="13.57421875" style="4" bestFit="1" customWidth="1"/>
    <col min="63" max="63" width="17.28125" style="4" customWidth="1"/>
    <col min="64" max="64" width="11.421875" style="4" customWidth="1"/>
    <col min="65" max="65" width="12.421875" style="4" customWidth="1"/>
    <col min="66" max="73" width="11.421875" style="4" customWidth="1"/>
    <col min="74" max="100" width="0" style="4" hidden="1" customWidth="1"/>
    <col min="101" max="101" width="12.57421875" style="4" hidden="1" customWidth="1"/>
    <col min="102" max="128" width="0" style="4" hidden="1" customWidth="1"/>
    <col min="129" max="130" width="12.7109375" style="4" hidden="1" customWidth="1"/>
    <col min="131" max="134" width="0" style="4" hidden="1" customWidth="1"/>
    <col min="135" max="135" width="12.57421875" style="4" hidden="1" customWidth="1"/>
    <col min="136" max="137" width="0" style="4" hidden="1" customWidth="1"/>
    <col min="138" max="138" width="12.00390625" style="4" hidden="1" customWidth="1"/>
    <col min="139" max="140" width="0" style="4" hidden="1" customWidth="1"/>
    <col min="141" max="141" width="12.7109375" style="4" hidden="1" customWidth="1"/>
    <col min="142" max="143" width="0" style="4" hidden="1" customWidth="1"/>
    <col min="144" max="144" width="12.7109375" style="4" hidden="1" customWidth="1"/>
    <col min="145" max="146" width="0" style="4" hidden="1" customWidth="1"/>
    <col min="147" max="147" width="13.28125" style="4" hidden="1" customWidth="1"/>
    <col min="148" max="152" width="0" style="4" hidden="1" customWidth="1"/>
    <col min="153" max="153" width="13.421875" style="4" hidden="1" customWidth="1"/>
    <col min="154" max="155" width="0" style="4" hidden="1" customWidth="1"/>
    <col min="156" max="156" width="14.7109375" style="4" customWidth="1"/>
    <col min="157" max="157" width="14.00390625" style="4" customWidth="1"/>
    <col min="158" max="158" width="11.421875" style="4" customWidth="1"/>
    <col min="159" max="159" width="13.421875" style="4" customWidth="1"/>
    <col min="160" max="160" width="13.57421875" style="4" bestFit="1" customWidth="1"/>
    <col min="161" max="16384" width="11.421875" style="4" customWidth="1"/>
  </cols>
  <sheetData>
    <row r="1" spans="1:16" ht="13.5" thickBot="1">
      <c r="A1" s="85" t="s">
        <v>257</v>
      </c>
      <c r="B1" s="83"/>
      <c r="C1" s="83"/>
      <c r="D1" s="83"/>
      <c r="E1" s="83"/>
      <c r="F1" s="82"/>
      <c r="G1" s="83"/>
      <c r="H1" s="83"/>
      <c r="I1" s="86"/>
      <c r="J1" s="83"/>
      <c r="K1" s="87"/>
      <c r="L1" s="2"/>
      <c r="M1" s="2"/>
      <c r="N1" s="2"/>
      <c r="O1" s="2"/>
      <c r="P1" s="3"/>
    </row>
    <row r="2" spans="1:17" ht="12.75">
      <c r="A2" s="53" t="s">
        <v>238</v>
      </c>
      <c r="B2" s="6"/>
      <c r="C2" s="6"/>
      <c r="D2" s="6"/>
      <c r="E2" s="6"/>
      <c r="F2" s="22"/>
      <c r="G2" s="6"/>
      <c r="H2" s="6" t="s">
        <v>254</v>
      </c>
      <c r="I2" s="6" t="s">
        <v>239</v>
      </c>
      <c r="J2" s="6" t="s">
        <v>240</v>
      </c>
      <c r="K2" s="67" t="s">
        <v>241</v>
      </c>
      <c r="M2" s="6"/>
      <c r="N2" s="6"/>
      <c r="O2" s="6"/>
      <c r="P2" s="8"/>
      <c r="Q2" s="77"/>
    </row>
    <row r="3" spans="1:16" ht="12.75">
      <c r="A3" s="53" t="s">
        <v>2</v>
      </c>
      <c r="B3" s="6">
        <f>120000*B50</f>
        <v>300684.22559999995</v>
      </c>
      <c r="C3" s="6">
        <v>11</v>
      </c>
      <c r="D3" s="6">
        <f>C3*B3</f>
        <v>3307526.4815999996</v>
      </c>
      <c r="E3" s="6"/>
      <c r="F3" s="22"/>
      <c r="G3" s="6"/>
      <c r="H3" s="9">
        <f>'Costos Km'!L77</f>
        <v>1.4565490615115322</v>
      </c>
      <c r="I3" s="6">
        <f>4*4.33*300</f>
        <v>5196</v>
      </c>
      <c r="J3" s="6">
        <f>H3*I3</f>
        <v>7568.228923613921</v>
      </c>
      <c r="K3" s="67">
        <f>J3*C3</f>
        <v>83250.51815975313</v>
      </c>
      <c r="M3" s="6"/>
      <c r="N3" s="6"/>
      <c r="O3" s="6"/>
      <c r="P3" s="8"/>
    </row>
    <row r="4" spans="1:16" ht="13.5" thickBot="1">
      <c r="A4" s="53" t="s">
        <v>4</v>
      </c>
      <c r="B4" s="6">
        <f>60000*B50</f>
        <v>150342.11279999997</v>
      </c>
      <c r="C4" s="6">
        <v>11</v>
      </c>
      <c r="D4" s="6">
        <f>C4*B4</f>
        <v>1653763.2407999998</v>
      </c>
      <c r="E4" s="6"/>
      <c r="F4" s="22"/>
      <c r="G4" s="6"/>
      <c r="H4" s="9">
        <f>'Costos Km'!L101</f>
        <v>0.17978747078943746</v>
      </c>
      <c r="I4" s="6">
        <f>I3</f>
        <v>5196</v>
      </c>
      <c r="J4" s="6">
        <f>H4*I4</f>
        <v>934.1756982219171</v>
      </c>
      <c r="K4" s="67">
        <f>J4*C4</f>
        <v>10275.932680441088</v>
      </c>
      <c r="M4" s="6"/>
      <c r="N4" s="6"/>
      <c r="O4" s="6"/>
      <c r="P4" s="8"/>
    </row>
    <row r="5" spans="1:16" ht="12.75" hidden="1">
      <c r="A5" s="53" t="s">
        <v>290</v>
      </c>
      <c r="B5" s="6">
        <f>65000*B50</f>
        <v>162870.62219999998</v>
      </c>
      <c r="C5" s="10">
        <v>0</v>
      </c>
      <c r="D5" s="6">
        <f>C5*B5</f>
        <v>0</v>
      </c>
      <c r="E5" s="6"/>
      <c r="F5" s="22"/>
      <c r="G5" s="6"/>
      <c r="H5" s="9">
        <f>'Costos Km'!L177</f>
        <v>1.432217675100947</v>
      </c>
      <c r="I5" s="6">
        <f>I4</f>
        <v>5196</v>
      </c>
      <c r="J5" s="6">
        <f>H5*I5</f>
        <v>7441.803039824521</v>
      </c>
      <c r="K5" s="67">
        <f>J5*C5</f>
        <v>0</v>
      </c>
      <c r="M5" s="6"/>
      <c r="N5" s="6"/>
      <c r="O5" s="6"/>
      <c r="P5" s="8"/>
    </row>
    <row r="6" spans="1:16" ht="13.5" hidden="1" thickBot="1">
      <c r="A6" s="53" t="s">
        <v>287</v>
      </c>
      <c r="B6" s="6">
        <f>40000*B50</f>
        <v>100228.07519999999</v>
      </c>
      <c r="C6" s="11">
        <v>0</v>
      </c>
      <c r="D6" s="6">
        <f>C6*B6</f>
        <v>0</v>
      </c>
      <c r="E6" s="6"/>
      <c r="F6" s="22"/>
      <c r="G6" s="6"/>
      <c r="H6" s="9">
        <f>'Costos Km'!L256</f>
        <v>1.1863336543951357</v>
      </c>
      <c r="I6" s="6">
        <f>I5</f>
        <v>5196</v>
      </c>
      <c r="J6" s="6">
        <f>H6*I6</f>
        <v>6164.189668237125</v>
      </c>
      <c r="K6" s="67">
        <f>J6*C6</f>
        <v>0</v>
      </c>
      <c r="M6" s="6"/>
      <c r="N6" s="6"/>
      <c r="O6" s="6"/>
      <c r="P6" s="8"/>
    </row>
    <row r="7" spans="1:16" ht="13.5" thickBot="1">
      <c r="A7" s="81" t="s">
        <v>9</v>
      </c>
      <c r="B7" s="82"/>
      <c r="C7" s="82"/>
      <c r="D7" s="82">
        <f>((C3*B3)+(C4*B4)+(C5*B5)+(C6*B6))</f>
        <v>4961289.722399999</v>
      </c>
      <c r="E7" s="82"/>
      <c r="F7" s="83"/>
      <c r="G7" s="83"/>
      <c r="H7" s="83"/>
      <c r="I7" s="83"/>
      <c r="J7" s="83"/>
      <c r="K7" s="84">
        <f>SUM(K3:K6)</f>
        <v>93526.45084019421</v>
      </c>
      <c r="M7" s="9"/>
      <c r="N7" s="9"/>
      <c r="O7" s="9"/>
      <c r="P7" s="8"/>
    </row>
    <row r="8" spans="5:16" ht="13.5" thickBot="1">
      <c r="E8" s="24"/>
      <c r="F8" s="4"/>
      <c r="I8" s="6"/>
      <c r="M8" s="9"/>
      <c r="N8" s="9"/>
      <c r="O8" s="9"/>
      <c r="P8" s="8"/>
    </row>
    <row r="9" spans="1:16" ht="12.75">
      <c r="A9" s="1" t="s">
        <v>11</v>
      </c>
      <c r="B9" s="88">
        <v>0.07</v>
      </c>
      <c r="C9" s="2"/>
      <c r="D9" s="2"/>
      <c r="E9" s="2"/>
      <c r="F9" s="79"/>
      <c r="G9" s="2"/>
      <c r="H9" s="2"/>
      <c r="I9" s="2" t="s">
        <v>12</v>
      </c>
      <c r="J9" s="2"/>
      <c r="K9" s="71">
        <f>65*B50</f>
        <v>162.87062219999999</v>
      </c>
      <c r="M9" s="9"/>
      <c r="N9" s="9"/>
      <c r="O9" s="9"/>
      <c r="P9" s="8"/>
    </row>
    <row r="10" spans="1:16" ht="12.75">
      <c r="A10" s="5" t="s">
        <v>14</v>
      </c>
      <c r="B10" s="6">
        <v>0</v>
      </c>
      <c r="C10" s="6"/>
      <c r="D10" s="6"/>
      <c r="E10" s="6"/>
      <c r="F10" s="22"/>
      <c r="G10" s="6"/>
      <c r="H10" s="6"/>
      <c r="I10" s="6" t="s">
        <v>43</v>
      </c>
      <c r="J10" s="6"/>
      <c r="K10" s="89">
        <v>1.4</v>
      </c>
      <c r="M10" s="9">
        <v>1.0787965616045845</v>
      </c>
      <c r="N10" s="9" t="s">
        <v>293</v>
      </c>
      <c r="O10" s="9"/>
      <c r="P10" s="8"/>
    </row>
    <row r="11" spans="1:16" ht="12.75">
      <c r="A11" s="5" t="s">
        <v>16</v>
      </c>
      <c r="B11" s="6">
        <v>7</v>
      </c>
      <c r="C11" s="6"/>
      <c r="D11" s="6"/>
      <c r="E11" s="6"/>
      <c r="F11" s="22"/>
      <c r="G11" s="6"/>
      <c r="H11" s="6"/>
      <c r="I11" s="6" t="s">
        <v>7</v>
      </c>
      <c r="J11" s="6"/>
      <c r="K11" s="67">
        <f>4*4.33</f>
        <v>17.32</v>
      </c>
      <c r="M11" s="9">
        <f>1.124+0.02</f>
        <v>1.1440000000000001</v>
      </c>
      <c r="N11" s="9" t="s">
        <v>294</v>
      </c>
      <c r="O11" s="9"/>
      <c r="P11" s="8"/>
    </row>
    <row r="12" spans="1:16" ht="12.75">
      <c r="A12" s="5" t="s">
        <v>18</v>
      </c>
      <c r="B12" s="12">
        <v>0.3</v>
      </c>
      <c r="C12" s="6" t="s">
        <v>295</v>
      </c>
      <c r="D12" s="6" t="s">
        <v>296</v>
      </c>
      <c r="E12" s="9">
        <v>139.7</v>
      </c>
      <c r="F12" s="22"/>
      <c r="G12" s="6"/>
      <c r="H12" s="6"/>
      <c r="I12" s="6" t="s">
        <v>17</v>
      </c>
      <c r="J12" s="6"/>
      <c r="K12" s="206">
        <f>+B51</f>
        <v>4.3</v>
      </c>
      <c r="M12" s="9"/>
      <c r="N12" s="9"/>
      <c r="O12" s="9"/>
      <c r="P12" s="8"/>
    </row>
    <row r="13" spans="1:16" ht="12.75">
      <c r="A13" s="5" t="s">
        <v>255</v>
      </c>
      <c r="B13" s="14">
        <v>0.24</v>
      </c>
      <c r="C13" s="6"/>
      <c r="D13" s="6" t="s">
        <v>297</v>
      </c>
      <c r="E13" s="9">
        <v>169.3</v>
      </c>
      <c r="F13" s="22"/>
      <c r="G13" s="6"/>
      <c r="H13" s="6"/>
      <c r="I13" s="6" t="s">
        <v>13</v>
      </c>
      <c r="J13" s="6"/>
      <c r="K13" s="191">
        <f>((1064)+(65*0.25*22))</f>
        <v>1421.5</v>
      </c>
      <c r="M13" s="9">
        <v>1.22</v>
      </c>
      <c r="N13" s="12" t="s">
        <v>23</v>
      </c>
      <c r="O13" s="12"/>
      <c r="P13" s="8"/>
    </row>
    <row r="14" spans="1:16" ht="13.5" thickBot="1">
      <c r="A14" s="69" t="str">
        <f>A50</f>
        <v>Inflacion-Accum</v>
      </c>
      <c r="B14" s="192">
        <f>+M13*1.23*1.21</f>
        <v>1.815726</v>
      </c>
      <c r="C14" s="29"/>
      <c r="D14" s="29" t="s">
        <v>298</v>
      </c>
      <c r="E14" s="195">
        <f>(E13/E12)-1</f>
        <v>0.2118826055833931</v>
      </c>
      <c r="F14" s="80"/>
      <c r="G14" s="29"/>
      <c r="H14" s="29"/>
      <c r="I14" s="29" t="str">
        <f>A53</f>
        <v>Combustible Bs</v>
      </c>
      <c r="J14" s="29"/>
      <c r="K14" s="90">
        <f>B53</f>
        <v>0.052</v>
      </c>
      <c r="L14" s="6"/>
      <c r="M14" s="6"/>
      <c r="N14" s="12"/>
      <c r="O14" s="12"/>
      <c r="P14" s="8"/>
    </row>
    <row r="15" spans="1:16" ht="13.5" thickBot="1">
      <c r="A15" s="5"/>
      <c r="B15" s="6"/>
      <c r="C15" s="6"/>
      <c r="D15" s="6"/>
      <c r="E15" s="6"/>
      <c r="F15" s="22"/>
      <c r="H15" s="6"/>
      <c r="I15" s="6"/>
      <c r="J15" s="6"/>
      <c r="K15" s="6"/>
      <c r="L15" s="6"/>
      <c r="M15" s="6"/>
      <c r="N15" s="6"/>
      <c r="O15" s="12"/>
      <c r="P15" s="15"/>
    </row>
    <row r="16" spans="1:18" ht="13.5" thickBot="1">
      <c r="A16" s="98" t="s">
        <v>19</v>
      </c>
      <c r="B16" s="115"/>
      <c r="C16" s="120" t="s">
        <v>20</v>
      </c>
      <c r="D16" s="99" t="s">
        <v>21</v>
      </c>
      <c r="E16" s="121" t="s">
        <v>22</v>
      </c>
      <c r="F16" s="99" t="s">
        <v>23</v>
      </c>
      <c r="G16" s="100" t="s">
        <v>24</v>
      </c>
      <c r="H16" s="134" t="s">
        <v>25</v>
      </c>
      <c r="I16" s="101" t="s">
        <v>26</v>
      </c>
      <c r="J16" s="101" t="s">
        <v>27</v>
      </c>
      <c r="K16" s="135" t="s">
        <v>28</v>
      </c>
      <c r="L16" s="148" t="s">
        <v>29</v>
      </c>
      <c r="M16" s="149" t="s">
        <v>30</v>
      </c>
      <c r="N16" s="162" t="s">
        <v>288</v>
      </c>
      <c r="O16" s="163" t="s">
        <v>289</v>
      </c>
      <c r="P16" s="102"/>
      <c r="Q16" s="98" t="s">
        <v>19</v>
      </c>
      <c r="R16" s="103"/>
    </row>
    <row r="17" spans="1:18" ht="12.75">
      <c r="A17" s="110" t="s">
        <v>31</v>
      </c>
      <c r="B17" s="116"/>
      <c r="C17" s="122"/>
      <c r="D17" s="91"/>
      <c r="E17" s="123"/>
      <c r="F17" s="91"/>
      <c r="G17" s="92"/>
      <c r="H17" s="136"/>
      <c r="I17" s="93"/>
      <c r="J17" s="93"/>
      <c r="K17" s="137"/>
      <c r="L17" s="150"/>
      <c r="M17" s="151"/>
      <c r="N17" s="164"/>
      <c r="O17" s="165"/>
      <c r="P17" s="3"/>
      <c r="Q17" s="110" t="s">
        <v>31</v>
      </c>
      <c r="R17" s="94"/>
    </row>
    <row r="18" spans="1:18" ht="12.75">
      <c r="A18" s="17" t="s">
        <v>274</v>
      </c>
      <c r="B18" s="95"/>
      <c r="C18" s="124">
        <f>H18*$C$3+J18*$C$4+L18*$C$5+N18*$C$6</f>
        <v>71220.92179042503</v>
      </c>
      <c r="D18" s="18"/>
      <c r="E18" s="125">
        <f>C18+D18</f>
        <v>71220.92179042503</v>
      </c>
      <c r="F18" s="19">
        <f>C18</f>
        <v>71220.92179042503</v>
      </c>
      <c r="G18" s="6">
        <f>(($C$3*H18)+($C$4*J18)+($C$5*L18)+($C$6*N18))</f>
        <v>71220.92179042503</v>
      </c>
      <c r="H18" s="138">
        <f>'Intereses Inversion Usados'!C90</f>
        <v>4901.048473035007</v>
      </c>
      <c r="I18" s="20"/>
      <c r="J18" s="20">
        <f>'Intereses Inversion Usados'!F90</f>
        <v>1573.5807806399953</v>
      </c>
      <c r="K18" s="139"/>
      <c r="L18" s="152">
        <f>'Intereses Inversion Usados'!I90</f>
        <v>3081.5956954200033</v>
      </c>
      <c r="M18" s="153"/>
      <c r="N18" s="166">
        <f>'Intereses Inversion Usados'!L90</f>
        <v>1966.975975799996</v>
      </c>
      <c r="O18" s="167"/>
      <c r="P18" s="21">
        <f>E18/$F$40</f>
        <v>0.10189145755654583</v>
      </c>
      <c r="Q18" s="17" t="s">
        <v>32</v>
      </c>
      <c r="R18" s="95"/>
    </row>
    <row r="19" spans="1:18" ht="12.75">
      <c r="A19" s="17" t="s">
        <v>33</v>
      </c>
      <c r="B19" s="95"/>
      <c r="C19" s="124">
        <f>((D7)*$B$9)/12</f>
        <v>28940.856713999998</v>
      </c>
      <c r="D19" s="18"/>
      <c r="E19" s="125">
        <f aca="true" t="shared" si="0" ref="E19:E40">C19+D19</f>
        <v>28940.856713999998</v>
      </c>
      <c r="F19" s="19">
        <f>F18+C19+D19</f>
        <v>100161.77850442502</v>
      </c>
      <c r="G19" s="6">
        <f>(($C$3*H19)+($C$4*J19)+($C$5*L19)+($C$6*N19))</f>
        <v>28940.856714</v>
      </c>
      <c r="H19" s="138">
        <f>((B3)*$B$9)/12</f>
        <v>1753.9913159999999</v>
      </c>
      <c r="I19" s="20"/>
      <c r="J19" s="20">
        <f>((B4)*$B$9)/12</f>
        <v>876.9956579999999</v>
      </c>
      <c r="K19" s="139"/>
      <c r="L19" s="152">
        <f>((B5)*$B$9)/12</f>
        <v>950.0786294999999</v>
      </c>
      <c r="M19" s="153"/>
      <c r="N19" s="166">
        <f>((B6)*$B$9)/12</f>
        <v>584.663772</v>
      </c>
      <c r="O19" s="167"/>
      <c r="P19" s="21">
        <f>E19/$F$40</f>
        <v>0.04140393018503513</v>
      </c>
      <c r="Q19" s="17" t="s">
        <v>33</v>
      </c>
      <c r="R19" s="95"/>
    </row>
    <row r="20" spans="1:18" ht="12.75">
      <c r="A20" s="17" t="s">
        <v>277</v>
      </c>
      <c r="B20" s="95"/>
      <c r="C20" s="124">
        <f>(H20*C3)+J20*C4+L20*C5+N20*C6</f>
        <v>2200</v>
      </c>
      <c r="D20" s="18"/>
      <c r="E20" s="125">
        <f t="shared" si="0"/>
        <v>2200</v>
      </c>
      <c r="F20" s="19">
        <f aca="true" t="shared" si="1" ref="F20:F34">F19+C20+D20</f>
        <v>102361.77850442502</v>
      </c>
      <c r="G20" s="6">
        <f>(($C$3*H20)+($C$4*J20)+($C$5*L20)+($C$6*N20))</f>
        <v>2200</v>
      </c>
      <c r="H20" s="138">
        <f>8000*B13/12</f>
        <v>160</v>
      </c>
      <c r="I20" s="20"/>
      <c r="J20" s="20">
        <f>2000*B13/12</f>
        <v>40</v>
      </c>
      <c r="K20" s="139"/>
      <c r="L20" s="152">
        <f>6000*B13/12</f>
        <v>120</v>
      </c>
      <c r="M20" s="153"/>
      <c r="N20" s="166">
        <f>5000*B13/12</f>
        <v>100</v>
      </c>
      <c r="O20" s="167"/>
      <c r="P20" s="21">
        <f>E20/$F$40</f>
        <v>0.0031474067028227815</v>
      </c>
      <c r="Q20" s="17" t="s">
        <v>34</v>
      </c>
      <c r="R20" s="95"/>
    </row>
    <row r="21" spans="1:18" ht="12.75">
      <c r="A21" s="17" t="s">
        <v>276</v>
      </c>
      <c r="B21" s="95"/>
      <c r="C21" s="124">
        <f>(D7*0.05)/12</f>
        <v>20672.04051</v>
      </c>
      <c r="D21" s="18"/>
      <c r="E21" s="125">
        <f t="shared" si="0"/>
        <v>20672.04051</v>
      </c>
      <c r="F21" s="19">
        <f t="shared" si="1"/>
        <v>123033.81901442501</v>
      </c>
      <c r="G21" s="6">
        <f>(($C$3*H21)+($C$4*J21)+($C$5*L21)+($C$6*N21))</f>
        <v>20672.040509999995</v>
      </c>
      <c r="H21" s="138">
        <f>(B3*0.05)/12</f>
        <v>1252.8509399999998</v>
      </c>
      <c r="I21" s="20"/>
      <c r="J21" s="20">
        <f>(B4*0.05)/12</f>
        <v>626.4254699999999</v>
      </c>
      <c r="K21" s="139"/>
      <c r="L21" s="152">
        <f>(B5*0.05)/12</f>
        <v>678.6275925</v>
      </c>
      <c r="M21" s="153"/>
      <c r="N21" s="166">
        <f>(B6*0.05)/12</f>
        <v>417.61698</v>
      </c>
      <c r="O21" s="167"/>
      <c r="P21" s="21">
        <f>E21/$F$40</f>
        <v>0.029574235846453665</v>
      </c>
      <c r="Q21" s="17" t="str">
        <f>A21</f>
        <v>Impuestos varios</v>
      </c>
      <c r="R21" s="95"/>
    </row>
    <row r="22" spans="1:18" ht="13.5" thickBot="1">
      <c r="A22" s="26" t="s">
        <v>16</v>
      </c>
      <c r="B22" s="97"/>
      <c r="C22" s="126">
        <f>D7*(1-B12)/$B$11/12</f>
        <v>41344.08101999999</v>
      </c>
      <c r="D22" s="28"/>
      <c r="E22" s="127">
        <f t="shared" si="0"/>
        <v>41344.08101999999</v>
      </c>
      <c r="F22" s="55">
        <f t="shared" si="1"/>
        <v>164377.900034425</v>
      </c>
      <c r="G22" s="29">
        <f>(($C$3*H22)+($C$4*J22)+($C$5*L22)+($C$6*N22))</f>
        <v>41344.08101999999</v>
      </c>
      <c r="H22" s="140">
        <f>B3*(1-B12)/$B$11/12</f>
        <v>2505.7018799999996</v>
      </c>
      <c r="I22" s="111"/>
      <c r="J22" s="111">
        <f>B4*(1-B12)/$B$11/12</f>
        <v>1252.8509399999998</v>
      </c>
      <c r="K22" s="141"/>
      <c r="L22" s="154">
        <f>B5*(1-B12)/$B$11/12</f>
        <v>1357.2551849999998</v>
      </c>
      <c r="M22" s="155"/>
      <c r="N22" s="168">
        <f>B6*(1-B12)/$B$11/12</f>
        <v>835.2339599999999</v>
      </c>
      <c r="O22" s="169"/>
      <c r="P22" s="113">
        <f>E22/$F$40</f>
        <v>0.05914847169290732</v>
      </c>
      <c r="Q22" s="26" t="s">
        <v>16</v>
      </c>
      <c r="R22" s="97"/>
    </row>
    <row r="23" spans="1:18" ht="12.75">
      <c r="A23" s="110" t="s">
        <v>35</v>
      </c>
      <c r="B23" s="94"/>
      <c r="C23" s="128"/>
      <c r="D23" s="107"/>
      <c r="E23" s="129"/>
      <c r="F23" s="108">
        <f t="shared" si="1"/>
        <v>164377.900034425</v>
      </c>
      <c r="G23" s="2"/>
      <c r="H23" s="142"/>
      <c r="I23" s="109"/>
      <c r="J23" s="109"/>
      <c r="K23" s="143"/>
      <c r="L23" s="156"/>
      <c r="M23" s="157"/>
      <c r="N23" s="170"/>
      <c r="O23" s="171"/>
      <c r="P23" s="114"/>
      <c r="Q23" s="110" t="s">
        <v>35</v>
      </c>
      <c r="R23" s="94"/>
    </row>
    <row r="24" spans="1:18" ht="12.75">
      <c r="A24" s="17" t="s">
        <v>36</v>
      </c>
      <c r="B24" s="95"/>
      <c r="C24" s="124"/>
      <c r="D24" s="18">
        <f>(C3+C5+C6)*104*B50</f>
        <v>2866.5229507199997</v>
      </c>
      <c r="E24" s="125">
        <f t="shared" si="0"/>
        <v>2866.5229507199997</v>
      </c>
      <c r="F24" s="19">
        <f t="shared" si="1"/>
        <v>167244.422985145</v>
      </c>
      <c r="G24" s="6">
        <f>(($C$3*I24)+($C$4*J24)+($C$5*M24)+($C$6*O24))</f>
        <v>2866.5229507199997</v>
      </c>
      <c r="H24" s="138"/>
      <c r="I24" s="20">
        <f>104*B50</f>
        <v>260.59299552</v>
      </c>
      <c r="J24" s="20"/>
      <c r="K24" s="139"/>
      <c r="L24" s="152"/>
      <c r="M24" s="153">
        <f>I24</f>
        <v>260.59299552</v>
      </c>
      <c r="N24" s="166"/>
      <c r="O24" s="167">
        <f>M24</f>
        <v>260.59299552</v>
      </c>
      <c r="P24" s="21">
        <f aca="true" t="shared" si="2" ref="P24:P30">E24/$F$40</f>
        <v>0.004100960704041575</v>
      </c>
      <c r="Q24" s="17" t="s">
        <v>36</v>
      </c>
      <c r="R24" s="95"/>
    </row>
    <row r="25" spans="1:18" ht="12.75">
      <c r="A25" s="17" t="s">
        <v>37</v>
      </c>
      <c r="B25" s="95"/>
      <c r="C25" s="124"/>
      <c r="D25" s="18">
        <f>(((C3*I3))*H3)+((C4*I4)*H4)+((C5*H5)*I5)+((C6*H6)*I6)</f>
        <v>93526.45084019421</v>
      </c>
      <c r="E25" s="125">
        <f t="shared" si="0"/>
        <v>93526.45084019421</v>
      </c>
      <c r="F25" s="19">
        <f t="shared" si="1"/>
        <v>260770.87382533922</v>
      </c>
      <c r="G25" s="6">
        <f>(($C$3*I25)+($C$4*K25)+($C$5*M25)+($C$6*O25))</f>
        <v>93526.45084019421</v>
      </c>
      <c r="H25" s="138"/>
      <c r="I25" s="20">
        <f>I3*H3</f>
        <v>7568.228923613921</v>
      </c>
      <c r="J25" s="20"/>
      <c r="K25" s="139">
        <f>I4*H4</f>
        <v>934.1756982219171</v>
      </c>
      <c r="L25" s="152"/>
      <c r="M25" s="153">
        <f>I5*H5</f>
        <v>7441.803039824521</v>
      </c>
      <c r="N25" s="166"/>
      <c r="O25" s="167">
        <f>I6*H6</f>
        <v>6164.189668237125</v>
      </c>
      <c r="P25" s="21">
        <f t="shared" si="2"/>
        <v>0.13380262648438757</v>
      </c>
      <c r="Q25" s="17" t="s">
        <v>37</v>
      </c>
      <c r="R25" s="95"/>
    </row>
    <row r="26" spans="1:18" ht="12.75">
      <c r="A26" s="17" t="s">
        <v>38</v>
      </c>
      <c r="B26" s="95"/>
      <c r="C26" s="124"/>
      <c r="D26" s="18">
        <f>($B$53*($C$3)*$I$3/2)+($B$53*($C$5)*$I$5/2.5)+($B$53*($C$6)*$I$5/3)</f>
        <v>1486.0559999999998</v>
      </c>
      <c r="E26" s="125">
        <f t="shared" si="0"/>
        <v>1486.0559999999998</v>
      </c>
      <c r="F26" s="19">
        <f t="shared" si="1"/>
        <v>262256.92982533923</v>
      </c>
      <c r="G26" s="6">
        <f>(($C$3*I26)+($C$4*J26)+($C$5*M26)+($C$6*O26))</f>
        <v>1486.056</v>
      </c>
      <c r="H26" s="138"/>
      <c r="I26" s="20">
        <f>+($B$53*$I$3/2)</f>
        <v>135.096</v>
      </c>
      <c r="J26" s="20"/>
      <c r="K26" s="139"/>
      <c r="L26" s="152"/>
      <c r="M26" s="153">
        <f>+($B$53*$I$5/2.5)</f>
        <v>108.0768</v>
      </c>
      <c r="N26" s="166"/>
      <c r="O26" s="167">
        <f>+($B$53*$I$5/3)</f>
        <v>90.06400000000001</v>
      </c>
      <c r="P26" s="21">
        <f t="shared" si="2"/>
        <v>0.0021260102796227323</v>
      </c>
      <c r="Q26" s="17" t="s">
        <v>38</v>
      </c>
      <c r="R26" s="95"/>
    </row>
    <row r="27" spans="1:18" ht="12.75">
      <c r="A27" s="17" t="s">
        <v>39</v>
      </c>
      <c r="B27" s="95"/>
      <c r="C27" s="124"/>
      <c r="D27" s="18">
        <f>(C3*I27+C5*M27+C6*O27)</f>
        <v>26733.634041945603</v>
      </c>
      <c r="E27" s="125">
        <f>(C27+D27)</f>
        <v>26733.634041945603</v>
      </c>
      <c r="F27" s="19">
        <f t="shared" si="1"/>
        <v>288990.56386728486</v>
      </c>
      <c r="G27" s="6">
        <f>(($C$3*I27)+($C$4*J27)+($C$5*M27)+($C$6*O27))</f>
        <v>26733.634041945603</v>
      </c>
      <c r="H27" s="138"/>
      <c r="I27" s="20">
        <f>(30+26)*$K$11*B50</f>
        <v>2430.3303674496</v>
      </c>
      <c r="J27" s="20"/>
      <c r="K27" s="139"/>
      <c r="L27" s="152"/>
      <c r="M27" s="153">
        <f>(30+15)*$K$11*$B$50</f>
        <v>1952.9440452719998</v>
      </c>
      <c r="N27" s="166"/>
      <c r="O27" s="167">
        <f>(30+11)*$K$11*$B$50</f>
        <v>1779.3490190255998</v>
      </c>
      <c r="P27" s="21">
        <f t="shared" si="2"/>
        <v>0.03824619044292313</v>
      </c>
      <c r="Q27" s="17" t="s">
        <v>39</v>
      </c>
      <c r="R27" s="95"/>
    </row>
    <row r="28" spans="1:18" ht="12.75">
      <c r="A28" s="17" t="s">
        <v>40</v>
      </c>
      <c r="B28" s="95"/>
      <c r="C28" s="124"/>
      <c r="D28" s="18">
        <f>I28*C3+M28*C5+O28*C6</f>
        <v>62546</v>
      </c>
      <c r="E28" s="125">
        <f>(C28+D28)</f>
        <v>62546</v>
      </c>
      <c r="F28" s="19">
        <f t="shared" si="1"/>
        <v>351536.56386728486</v>
      </c>
      <c r="G28" s="6">
        <f>(($C$3*(H28+I28))+($C$4*(J28+K28))+($C$5*(L28+M28))+($C$6*(N28+O28)))</f>
        <v>62546</v>
      </c>
      <c r="H28" s="138"/>
      <c r="I28" s="204">
        <f>4*K13</f>
        <v>5686</v>
      </c>
      <c r="J28" s="20"/>
      <c r="K28" s="139"/>
      <c r="L28" s="152"/>
      <c r="M28" s="153">
        <f>3.25*K13</f>
        <v>4619.875</v>
      </c>
      <c r="N28" s="166"/>
      <c r="O28" s="167">
        <f>2.5*K13</f>
        <v>3553.75</v>
      </c>
      <c r="P28" s="21">
        <f t="shared" si="2"/>
        <v>0.08948077256125167</v>
      </c>
      <c r="Q28" s="17" t="s">
        <v>40</v>
      </c>
      <c r="R28" s="95"/>
    </row>
    <row r="29" spans="1:18" ht="12.75">
      <c r="A29" s="17" t="s">
        <v>243</v>
      </c>
      <c r="B29" s="95"/>
      <c r="C29" s="124">
        <f>H29*$C$3+J29*$C$4+L29*$C$5+N29*$C$6</f>
        <v>9341.285714285714</v>
      </c>
      <c r="D29" s="18">
        <f>I29*$C$3+K29*$C$4+M29*$C$5+O29*$C$6</f>
        <v>0</v>
      </c>
      <c r="E29" s="125">
        <f>(C29+D29)</f>
        <v>9341.285714285714</v>
      </c>
      <c r="F29" s="19">
        <f t="shared" si="1"/>
        <v>360877.8495815706</v>
      </c>
      <c r="G29" s="6">
        <f>(($C$3*(H29+I29))+($C$4*(J29+K29))+($C$5*(L29+M29))+($C$6*(N29+O29)))</f>
        <v>9341.285714285714</v>
      </c>
      <c r="H29" s="138">
        <f>((85000)/192500)*$K$13</f>
        <v>627.6753246753246</v>
      </c>
      <c r="I29" s="20">
        <v>0</v>
      </c>
      <c r="J29" s="20">
        <f>((30000)/192500)*$K$13</f>
        <v>221.53246753246754</v>
      </c>
      <c r="K29" s="139">
        <v>0</v>
      </c>
      <c r="L29" s="152">
        <f>((50000)/192500)*$K$13</f>
        <v>369.2207792207792</v>
      </c>
      <c r="M29" s="153">
        <v>0</v>
      </c>
      <c r="N29" s="166">
        <f>((30000)/192500)*$K$13</f>
        <v>221.53246753246754</v>
      </c>
      <c r="O29" s="167">
        <v>0</v>
      </c>
      <c r="P29" s="21">
        <f t="shared" si="2"/>
        <v>0.013364011486420704</v>
      </c>
      <c r="Q29" s="17" t="s">
        <v>243</v>
      </c>
      <c r="R29" s="95"/>
    </row>
    <row r="30" spans="1:18" ht="13.5" thickBot="1">
      <c r="A30" s="26" t="s">
        <v>242</v>
      </c>
      <c r="B30" s="97"/>
      <c r="C30" s="126">
        <f>SUM(C28:C29)*$K$10</f>
        <v>13077.8</v>
      </c>
      <c r="D30" s="28">
        <f>SUM(D28:D29)*$K$10</f>
        <v>87564.4</v>
      </c>
      <c r="E30" s="127">
        <f>(C30+D30)</f>
        <v>100642.2</v>
      </c>
      <c r="F30" s="55">
        <f t="shared" si="1"/>
        <v>461520.04958157055</v>
      </c>
      <c r="G30" s="29">
        <f>(($C$3*(H30+I30))+($C$4*(J30+K30))+($C$5*(L30+M30))+($C$6*(N30+O30)))</f>
        <v>100642.20000000001</v>
      </c>
      <c r="H30" s="140">
        <f aca="true" t="shared" si="3" ref="H30:O30">(H28+H29)*$K$10</f>
        <v>878.7454545454544</v>
      </c>
      <c r="I30" s="111">
        <f t="shared" si="3"/>
        <v>7960.4</v>
      </c>
      <c r="J30" s="111">
        <f t="shared" si="3"/>
        <v>310.1454545454545</v>
      </c>
      <c r="K30" s="141">
        <f t="shared" si="3"/>
        <v>0</v>
      </c>
      <c r="L30" s="154">
        <f t="shared" si="3"/>
        <v>516.9090909090909</v>
      </c>
      <c r="M30" s="155">
        <f t="shared" si="3"/>
        <v>6467.825</v>
      </c>
      <c r="N30" s="168">
        <f t="shared" si="3"/>
        <v>310.1454545454545</v>
      </c>
      <c r="O30" s="169">
        <f t="shared" si="3"/>
        <v>4975.25</v>
      </c>
      <c r="P30" s="113">
        <f t="shared" si="2"/>
        <v>0.14398269766674132</v>
      </c>
      <c r="Q30" s="26" t="s">
        <v>242</v>
      </c>
      <c r="R30" s="97"/>
    </row>
    <row r="31" spans="1:18" ht="12.75">
      <c r="A31" s="110" t="s">
        <v>41</v>
      </c>
      <c r="B31" s="94"/>
      <c r="C31" s="128"/>
      <c r="D31" s="107"/>
      <c r="E31" s="129"/>
      <c r="F31" s="108"/>
      <c r="G31" s="2"/>
      <c r="H31" s="142"/>
      <c r="I31" s="109"/>
      <c r="J31" s="109"/>
      <c r="K31" s="143"/>
      <c r="L31" s="156"/>
      <c r="M31" s="157"/>
      <c r="N31" s="170"/>
      <c r="O31" s="171"/>
      <c r="P31" s="114"/>
      <c r="Q31" s="110" t="s">
        <v>41</v>
      </c>
      <c r="R31" s="94"/>
    </row>
    <row r="32" spans="1:18" ht="12.75">
      <c r="A32" s="17" t="s">
        <v>42</v>
      </c>
      <c r="B32" s="95"/>
      <c r="C32" s="124">
        <f>(H32*$C$3+J32*$C$4+L32*$C$5+N32*$C$6)</f>
        <v>37771.28571428571</v>
      </c>
      <c r="D32" s="18"/>
      <c r="E32" s="125">
        <f t="shared" si="0"/>
        <v>37771.28571428571</v>
      </c>
      <c r="F32" s="19">
        <f>F30+C32+D32</f>
        <v>499291.33529585623</v>
      </c>
      <c r="G32" s="6">
        <f>(($C$3*(H32+I32))+($C$4*(J32+K32))+($C$5*(L32+M32))+($C$6*(N32+O32)))</f>
        <v>37771.28571428571</v>
      </c>
      <c r="H32" s="138">
        <f>((140000+200000)/192500)*$K$13</f>
        <v>2510.7012987012986</v>
      </c>
      <c r="I32" s="20"/>
      <c r="J32" s="20">
        <f>((50000+75000)/192500)*$K$13</f>
        <v>923.051948051948</v>
      </c>
      <c r="K32" s="139"/>
      <c r="L32" s="152">
        <f>((80000+120000)/192500)*$K$13</f>
        <v>1476.8831168831168</v>
      </c>
      <c r="M32" s="153"/>
      <c r="N32" s="166">
        <f>((50000+75000)/192500)*$K$13</f>
        <v>923.051948051948</v>
      </c>
      <c r="O32" s="167"/>
      <c r="P32" s="21">
        <f>G32/$F$40</f>
        <v>0.05403708992335328</v>
      </c>
      <c r="Q32" s="17" t="s">
        <v>42</v>
      </c>
      <c r="R32" s="95"/>
    </row>
    <row r="33" spans="1:18" ht="12.75">
      <c r="A33" s="17" t="s">
        <v>43</v>
      </c>
      <c r="B33" s="95"/>
      <c r="C33" s="124">
        <f>C32*K10</f>
        <v>52879.79999999999</v>
      </c>
      <c r="D33" s="18">
        <f>(D32)*K10</f>
        <v>0</v>
      </c>
      <c r="E33" s="125">
        <f t="shared" si="0"/>
        <v>52879.79999999999</v>
      </c>
      <c r="F33" s="19">
        <f>F32+C33+D33</f>
        <v>552171.1352958563</v>
      </c>
      <c r="G33" s="6">
        <f>(($C$3*(H33+I33))+($C$4*(J33+K33))+($C$5*(L33+M33))+($C$6*(N33+O33)))</f>
        <v>52879.79999999999</v>
      </c>
      <c r="H33" s="138">
        <f aca="true" t="shared" si="4" ref="H33:O33">(H32)*$K$10</f>
        <v>3514.9818181818177</v>
      </c>
      <c r="I33" s="20">
        <f t="shared" si="4"/>
        <v>0</v>
      </c>
      <c r="J33" s="20">
        <f t="shared" si="4"/>
        <v>1292.272727272727</v>
      </c>
      <c r="K33" s="139">
        <f t="shared" si="4"/>
        <v>0</v>
      </c>
      <c r="L33" s="152">
        <f t="shared" si="4"/>
        <v>2067.6363636363635</v>
      </c>
      <c r="M33" s="153">
        <f t="shared" si="4"/>
        <v>0</v>
      </c>
      <c r="N33" s="166">
        <f t="shared" si="4"/>
        <v>1292.272727272727</v>
      </c>
      <c r="O33" s="167">
        <f t="shared" si="4"/>
        <v>0</v>
      </c>
      <c r="P33" s="21">
        <f>E33/$F$40</f>
        <v>0.07565192589269458</v>
      </c>
      <c r="Q33" s="17" t="s">
        <v>43</v>
      </c>
      <c r="R33" s="95"/>
    </row>
    <row r="34" spans="1:18" ht="12.75">
      <c r="A34" s="17" t="s">
        <v>44</v>
      </c>
      <c r="B34" s="95"/>
      <c r="C34" s="124">
        <f>(H34*$C$3+J34*$C$4+L34*$C$5+N34*$C$6)</f>
        <v>30318.992747999993</v>
      </c>
      <c r="D34" s="18"/>
      <c r="E34" s="125">
        <f t="shared" si="0"/>
        <v>30318.992747999993</v>
      </c>
      <c r="F34" s="19">
        <f t="shared" si="1"/>
        <v>582490.1280438562</v>
      </c>
      <c r="G34" s="6">
        <f>(($C$3*H34)+($C$4*J34)+($C$5*L34)+($C$6*N34))</f>
        <v>30318.992747999993</v>
      </c>
      <c r="H34" s="138">
        <f>1000*B50</f>
        <v>2505.7018799999996</v>
      </c>
      <c r="I34" s="20">
        <v>0</v>
      </c>
      <c r="J34" s="20">
        <f>100*B50</f>
        <v>250.57018799999997</v>
      </c>
      <c r="K34" s="139">
        <v>0</v>
      </c>
      <c r="L34" s="152">
        <f>660*B50</f>
        <v>1653.7632407999997</v>
      </c>
      <c r="M34" s="153">
        <v>0</v>
      </c>
      <c r="N34" s="166">
        <f>500*B50</f>
        <v>1252.8509399999998</v>
      </c>
      <c r="O34" s="167"/>
      <c r="P34" s="21">
        <f>E34/$F$40</f>
        <v>0.043375545908132036</v>
      </c>
      <c r="Q34" s="17" t="s">
        <v>44</v>
      </c>
      <c r="R34" s="95"/>
    </row>
    <row r="35" spans="1:18" ht="13.5" thickBot="1">
      <c r="A35" s="26"/>
      <c r="B35" s="97"/>
      <c r="C35" s="126"/>
      <c r="D35" s="28"/>
      <c r="E35" s="127"/>
      <c r="F35" s="55"/>
      <c r="G35" s="29"/>
      <c r="H35" s="140"/>
      <c r="I35" s="111"/>
      <c r="J35" s="111"/>
      <c r="K35" s="141"/>
      <c r="L35" s="154"/>
      <c r="M35" s="155"/>
      <c r="N35" s="168"/>
      <c r="O35" s="169"/>
      <c r="P35" s="113"/>
      <c r="Q35" s="26"/>
      <c r="R35" s="97"/>
    </row>
    <row r="36" spans="1:24" s="24" customFormat="1" ht="12.75">
      <c r="A36" s="16" t="s">
        <v>45</v>
      </c>
      <c r="B36" s="96"/>
      <c r="C36" s="130">
        <f>SUM(C18:C32)+C33+C34</f>
        <v>307767.06421099644</v>
      </c>
      <c r="D36" s="19">
        <f>SUM(D18:D34)</f>
        <v>274723.0638328598</v>
      </c>
      <c r="E36" s="125">
        <f t="shared" si="0"/>
        <v>582490.1280438562</v>
      </c>
      <c r="F36" s="19">
        <f>C36+D36</f>
        <v>582490.1280438562</v>
      </c>
      <c r="G36" s="22">
        <f>(($C$3*(H36+I36))+($C$4*(J36+K36))+($C$5*(L36+M36))+($C$6*(N36+O36)))</f>
        <v>582490.1280438562</v>
      </c>
      <c r="H36" s="144">
        <f aca="true" t="shared" si="5" ref="H36:O36">SUM(H18:H32)+H33+H34</f>
        <v>20611.398385138906</v>
      </c>
      <c r="I36" s="23">
        <f t="shared" si="5"/>
        <v>24040.64828658352</v>
      </c>
      <c r="J36" s="23">
        <f t="shared" si="5"/>
        <v>7367.425634042592</v>
      </c>
      <c r="K36" s="145">
        <f t="shared" si="5"/>
        <v>934.1756982219171</v>
      </c>
      <c r="L36" s="158">
        <f t="shared" si="5"/>
        <v>12271.969693869352</v>
      </c>
      <c r="M36" s="159">
        <f t="shared" si="5"/>
        <v>20851.11688061652</v>
      </c>
      <c r="N36" s="172">
        <f t="shared" si="5"/>
        <v>7904.3442252025925</v>
      </c>
      <c r="O36" s="173">
        <f t="shared" si="5"/>
        <v>16823.195682782723</v>
      </c>
      <c r="P36" s="21"/>
      <c r="Q36" s="16" t="s">
        <v>45</v>
      </c>
      <c r="R36" s="96"/>
      <c r="T36" s="4"/>
      <c r="W36" s="4"/>
      <c r="X36" s="4"/>
    </row>
    <row r="37" spans="1:18" ht="12.75">
      <c r="A37" s="17"/>
      <c r="B37" s="95"/>
      <c r="C37" s="124"/>
      <c r="D37" s="18"/>
      <c r="E37" s="125"/>
      <c r="F37" s="19"/>
      <c r="G37" s="6"/>
      <c r="H37" s="138"/>
      <c r="I37" s="20"/>
      <c r="J37" s="20"/>
      <c r="K37" s="139"/>
      <c r="L37" s="152"/>
      <c r="M37" s="153"/>
      <c r="N37" s="166"/>
      <c r="O37" s="167"/>
      <c r="P37" s="21"/>
      <c r="Q37" s="17"/>
      <c r="R37" s="95"/>
    </row>
    <row r="38" spans="1:18" ht="12.75">
      <c r="A38" s="17" t="s">
        <v>46</v>
      </c>
      <c r="B38" s="117">
        <v>0.2</v>
      </c>
      <c r="C38" s="124">
        <f>C36*($B$38)</f>
        <v>61553.412842199294</v>
      </c>
      <c r="D38" s="18">
        <f>D36*($B$38)</f>
        <v>54944.61276657196</v>
      </c>
      <c r="E38" s="125">
        <f t="shared" si="0"/>
        <v>116498.02560877125</v>
      </c>
      <c r="F38" s="19">
        <f>F36*($B$38)</f>
        <v>116498.02560877125</v>
      </c>
      <c r="G38" s="6">
        <f>(($C$3*(H38+I38))+($C$4*(J38+K38))+($C$5*(L38+M38))+($C$6*(N38+O38)))</f>
        <v>116498.02560877126</v>
      </c>
      <c r="H38" s="138">
        <f aca="true" t="shared" si="6" ref="H38:O38">H36*($B$38)</f>
        <v>4122.279677027781</v>
      </c>
      <c r="I38" s="20">
        <f t="shared" si="6"/>
        <v>4808.129657316705</v>
      </c>
      <c r="J38" s="20">
        <f t="shared" si="6"/>
        <v>1473.4851268085185</v>
      </c>
      <c r="K38" s="139">
        <f t="shared" si="6"/>
        <v>186.83513964438342</v>
      </c>
      <c r="L38" s="152">
        <f t="shared" si="6"/>
        <v>2454.3939387738706</v>
      </c>
      <c r="M38" s="153">
        <f t="shared" si="6"/>
        <v>4170.223376123304</v>
      </c>
      <c r="N38" s="166">
        <f t="shared" si="6"/>
        <v>1580.8688450405186</v>
      </c>
      <c r="O38" s="167">
        <f t="shared" si="6"/>
        <v>3364.639136556545</v>
      </c>
      <c r="P38" s="21">
        <f>F38/$F$40</f>
        <v>0.16666666666666666</v>
      </c>
      <c r="Q38" s="17" t="s">
        <v>46</v>
      </c>
      <c r="R38" s="95"/>
    </row>
    <row r="39" spans="1:18" ht="12.75">
      <c r="A39" s="17"/>
      <c r="B39" s="95"/>
      <c r="C39" s="131">
        <f>C40/F40</f>
        <v>0.5283644295304252</v>
      </c>
      <c r="D39" s="25">
        <f>D40/F40</f>
        <v>0.4716355704695748</v>
      </c>
      <c r="E39" s="125"/>
      <c r="F39" s="19"/>
      <c r="G39" s="6"/>
      <c r="H39" s="138"/>
      <c r="I39" s="20"/>
      <c r="J39" s="20"/>
      <c r="K39" s="139"/>
      <c r="L39" s="152"/>
      <c r="M39" s="153"/>
      <c r="N39" s="166"/>
      <c r="O39" s="167"/>
      <c r="P39" s="21"/>
      <c r="Q39" s="17"/>
      <c r="R39" s="95"/>
    </row>
    <row r="40" spans="1:24" s="24" customFormat="1" ht="13.5" thickBot="1">
      <c r="A40" s="118" t="s">
        <v>47</v>
      </c>
      <c r="B40" s="119"/>
      <c r="C40" s="132">
        <f>C36+C38</f>
        <v>369320.4770531957</v>
      </c>
      <c r="D40" s="55">
        <f>D36+D38</f>
        <v>329667.6765994318</v>
      </c>
      <c r="E40" s="133">
        <f t="shared" si="0"/>
        <v>698988.1536526275</v>
      </c>
      <c r="F40" s="19">
        <f>F36+F38</f>
        <v>698988.1536526275</v>
      </c>
      <c r="G40" s="22">
        <f>(($C$3*(H40+I40))+($C$4*(J40+K40))+($C$5*(L40+M40))+($C$6*(N40+O40)))</f>
        <v>698988.1536526276</v>
      </c>
      <c r="H40" s="144">
        <f>H36+H38</f>
        <v>24733.678062166688</v>
      </c>
      <c r="I40" s="23">
        <f aca="true" t="shared" si="7" ref="I40:O40">I36+I38</f>
        <v>28848.777943900226</v>
      </c>
      <c r="J40" s="23">
        <f t="shared" si="7"/>
        <v>8840.910760851111</v>
      </c>
      <c r="K40" s="145">
        <f t="shared" si="7"/>
        <v>1121.0108378663006</v>
      </c>
      <c r="L40" s="158">
        <f t="shared" si="7"/>
        <v>14726.363632643222</v>
      </c>
      <c r="M40" s="159">
        <f t="shared" si="7"/>
        <v>25021.340256739823</v>
      </c>
      <c r="N40" s="172">
        <f t="shared" si="7"/>
        <v>9485.213070243111</v>
      </c>
      <c r="O40" s="173">
        <f t="shared" si="7"/>
        <v>20187.834819339267</v>
      </c>
      <c r="P40" s="21">
        <f>SUM(P18:P32)+P33+P34+P38</f>
        <v>1</v>
      </c>
      <c r="Q40" s="16" t="s">
        <v>47</v>
      </c>
      <c r="R40" s="96"/>
      <c r="T40" s="4"/>
      <c r="W40" s="4"/>
      <c r="X40" s="4"/>
    </row>
    <row r="41" spans="1:18" ht="12.75">
      <c r="A41" s="104"/>
      <c r="B41" s="105"/>
      <c r="C41" s="106"/>
      <c r="D41" s="106"/>
      <c r="E41" s="107"/>
      <c r="F41" s="108"/>
      <c r="G41" s="2"/>
      <c r="H41" s="142" t="s">
        <v>48</v>
      </c>
      <c r="I41" s="109" t="s">
        <v>49</v>
      </c>
      <c r="J41" s="109" t="s">
        <v>48</v>
      </c>
      <c r="K41" s="143" t="s">
        <v>49</v>
      </c>
      <c r="L41" s="156" t="s">
        <v>48</v>
      </c>
      <c r="M41" s="157" t="s">
        <v>49</v>
      </c>
      <c r="N41" s="170" t="s">
        <v>48</v>
      </c>
      <c r="O41" s="171" t="s">
        <v>49</v>
      </c>
      <c r="P41" s="3"/>
      <c r="Q41" s="104"/>
      <c r="R41" s="94"/>
    </row>
    <row r="42" spans="1:18" ht="13.5" thickBot="1">
      <c r="A42" s="26"/>
      <c r="B42" s="27"/>
      <c r="C42" s="28"/>
      <c r="D42" s="28"/>
      <c r="E42" s="28"/>
      <c r="F42" s="55"/>
      <c r="G42" s="29"/>
      <c r="H42" s="146">
        <f>H40/K11</f>
        <v>1428.0414585546587</v>
      </c>
      <c r="I42" s="30">
        <f>I40/I3</f>
        <v>5.5521127682640925</v>
      </c>
      <c r="J42" s="30">
        <f>J40/K11</f>
        <v>510.44519404452143</v>
      </c>
      <c r="K42" s="147">
        <f>K40/I4</f>
        <v>0.21574496494732498</v>
      </c>
      <c r="L42" s="160">
        <f>L40/K11</f>
        <v>850.2519418385232</v>
      </c>
      <c r="M42" s="161">
        <f>M40/I5</f>
        <v>4.815500434322522</v>
      </c>
      <c r="N42" s="174">
        <f>N40/K11</f>
        <v>547.6450964343597</v>
      </c>
      <c r="O42" s="175">
        <f>O40/I6</f>
        <v>3.8852645918666795</v>
      </c>
      <c r="P42" s="31"/>
      <c r="Q42" s="26"/>
      <c r="R42" s="97"/>
    </row>
    <row r="43" spans="1:22" ht="13.5" thickBot="1">
      <c r="A43" s="33"/>
      <c r="B43" s="33"/>
      <c r="C43" s="33"/>
      <c r="D43" s="33"/>
      <c r="E43" s="33"/>
      <c r="F43" s="56"/>
      <c r="G43" s="33"/>
      <c r="H43" s="33"/>
      <c r="I43" s="33"/>
      <c r="J43" s="33"/>
      <c r="K43" s="33"/>
      <c r="L43" s="33"/>
      <c r="M43" s="33"/>
      <c r="N43" s="33"/>
      <c r="O43" s="33"/>
      <c r="Q43" s="33"/>
      <c r="R43" s="33"/>
      <c r="S43" s="33"/>
      <c r="U43" s="33"/>
      <c r="V43" s="33"/>
    </row>
    <row r="44" spans="1:22" ht="13.5" thickBot="1">
      <c r="A44" s="186"/>
      <c r="B44" s="187" t="s">
        <v>0</v>
      </c>
      <c r="C44" s="188"/>
      <c r="D44" s="188"/>
      <c r="E44" s="188"/>
      <c r="F44" s="187"/>
      <c r="G44" s="188"/>
      <c r="H44" s="187" t="s">
        <v>1</v>
      </c>
      <c r="I44" s="187"/>
      <c r="J44" s="189"/>
      <c r="K44" s="33"/>
      <c r="L44" s="33"/>
      <c r="M44" s="33"/>
      <c r="N44" s="33"/>
      <c r="O44" s="33"/>
      <c r="Q44" s="33"/>
      <c r="R44" s="33"/>
      <c r="S44" s="33"/>
      <c r="U44" s="33"/>
      <c r="V44" s="33"/>
    </row>
    <row r="45" spans="1:22" ht="13.5" thickBot="1">
      <c r="A45" s="186" t="s">
        <v>3</v>
      </c>
      <c r="B45" s="197">
        <f>($H$40+$J$40)/K11</f>
        <v>1938.48665259918</v>
      </c>
      <c r="C45" s="188"/>
      <c r="D45" s="188"/>
      <c r="E45" s="188"/>
      <c r="F45" s="187"/>
      <c r="G45" s="188"/>
      <c r="H45" s="197">
        <f>I42+K42</f>
        <v>5.767857733211417</v>
      </c>
      <c r="I45" s="197"/>
      <c r="J45" s="199">
        <f>(B45*K11/I3)+H45</f>
        <v>12.229479908542016</v>
      </c>
      <c r="K45" s="34">
        <f>B45*K11+I3*H45</f>
        <v>63544.37760478432</v>
      </c>
      <c r="L45" s="34">
        <f>K45/21</f>
        <v>3025.922743084968</v>
      </c>
      <c r="M45" s="77">
        <f>(K45/37876885)-1</f>
        <v>-0.9983223441525145</v>
      </c>
      <c r="O45" s="34">
        <f>B45*21</f>
        <v>40708.21970458278</v>
      </c>
      <c r="Q45" s="21">
        <f>(+J45/4795)-1</f>
        <v>-0.9974495349512946</v>
      </c>
      <c r="R45" s="33"/>
      <c r="S45" s="33"/>
      <c r="U45" s="33"/>
      <c r="V45" s="33"/>
    </row>
    <row r="46" spans="1:22" ht="13.5" thickBot="1">
      <c r="A46" s="186" t="s">
        <v>292</v>
      </c>
      <c r="B46" s="197">
        <f>($L$40)/K11</f>
        <v>850.2519418385232</v>
      </c>
      <c r="C46" s="188"/>
      <c r="D46" s="188"/>
      <c r="E46" s="188"/>
      <c r="F46" s="187"/>
      <c r="G46" s="188"/>
      <c r="H46" s="197">
        <f>M42</f>
        <v>4.815500434322522</v>
      </c>
      <c r="I46" s="200"/>
      <c r="J46" s="199">
        <f>(B46*K11/I5)+H46</f>
        <v>7.649673573784266</v>
      </c>
      <c r="K46" s="34">
        <f>B46*21+H46*I5</f>
        <v>42876.63103534881</v>
      </c>
      <c r="L46" s="34">
        <f>K46/21</f>
        <v>2041.74433501661</v>
      </c>
      <c r="M46" s="77">
        <f>(K46/22067430)-1</f>
        <v>-0.9980570174671292</v>
      </c>
      <c r="N46" s="33"/>
      <c r="O46" s="34">
        <f>H45*10000</f>
        <v>57678.577332114175</v>
      </c>
      <c r="Q46" s="21">
        <f>(+J46/4088)-1</f>
        <v>-0.9981287491257866</v>
      </c>
      <c r="R46" s="33"/>
      <c r="S46" s="33"/>
      <c r="U46" s="33"/>
      <c r="V46" s="33"/>
    </row>
    <row r="47" spans="1:22" ht="13.5" thickBot="1">
      <c r="A47" s="184" t="s">
        <v>291</v>
      </c>
      <c r="B47" s="198">
        <f>($N$40)/K11</f>
        <v>547.6450964343597</v>
      </c>
      <c r="C47" s="112"/>
      <c r="D47" s="112"/>
      <c r="E47" s="112"/>
      <c r="F47" s="185"/>
      <c r="G47" s="112"/>
      <c r="H47" s="198">
        <f>O42</f>
        <v>3.8852645918666795</v>
      </c>
      <c r="I47" s="192"/>
      <c r="J47" s="199">
        <f>(B47*K11/I6)+H47</f>
        <v>5.710748246647879</v>
      </c>
      <c r="K47" s="34">
        <f>B47*21+H47*I6</f>
        <v>31688.38184446082</v>
      </c>
      <c r="L47" s="34">
        <f>K47/21</f>
        <v>1508.9705640219438</v>
      </c>
      <c r="M47" s="77">
        <f>(K47/16656803)-1</f>
        <v>-0.9980975711939163</v>
      </c>
      <c r="N47" s="33"/>
      <c r="O47" s="33"/>
      <c r="Q47" s="21">
        <f>(+J47/3096)-1</f>
        <v>-0.9981554430727881</v>
      </c>
      <c r="R47" s="33"/>
      <c r="S47" s="33"/>
      <c r="U47" s="33"/>
      <c r="V47" s="33"/>
    </row>
    <row r="48" spans="1:24" s="76" customFormat="1" ht="13.5" thickBot="1">
      <c r="A48" s="176"/>
      <c r="B48" s="176"/>
      <c r="F48" s="177"/>
      <c r="G48" s="34"/>
      <c r="H48" s="176"/>
      <c r="I48" s="178"/>
      <c r="J48" s="178"/>
      <c r="K48" s="178"/>
      <c r="L48" s="178"/>
      <c r="M48" s="178"/>
      <c r="N48" s="178"/>
      <c r="O48" s="178"/>
      <c r="P48" s="179"/>
      <c r="Q48" s="178"/>
      <c r="R48" s="178"/>
      <c r="S48" s="178"/>
      <c r="U48" s="178"/>
      <c r="V48" s="178"/>
      <c r="W48" s="4"/>
      <c r="X48" s="4"/>
    </row>
    <row r="49" spans="1:22" ht="13.5" thickBot="1">
      <c r="A49" s="85" t="s">
        <v>6</v>
      </c>
      <c r="B49" s="83"/>
      <c r="C49" s="83"/>
      <c r="D49" s="83"/>
      <c r="E49" s="83"/>
      <c r="F49" s="82"/>
      <c r="G49" s="190">
        <f>F49/164215675</f>
        <v>0</v>
      </c>
      <c r="H49" s="83"/>
      <c r="I49" s="83"/>
      <c r="J49" s="87"/>
      <c r="K49" s="33"/>
      <c r="L49" s="33"/>
      <c r="M49" s="33"/>
      <c r="N49" s="33"/>
      <c r="O49" s="33"/>
      <c r="Q49" s="33"/>
      <c r="R49" s="33"/>
      <c r="S49" s="33"/>
      <c r="U49" s="33"/>
      <c r="V49" s="33"/>
    </row>
    <row r="50" spans="1:22" ht="12.75">
      <c r="A50" s="5" t="s">
        <v>8</v>
      </c>
      <c r="B50" s="9">
        <f>1.38*B14</f>
        <v>2.5057018799999997</v>
      </c>
      <c r="C50" s="6"/>
      <c r="D50" s="6"/>
      <c r="E50" s="6"/>
      <c r="F50" s="22">
        <f>E18+E19+E20+E21+E22+E24+E27+E34+F38</f>
        <v>340795.07538386184</v>
      </c>
      <c r="G50" s="6"/>
      <c r="H50" s="6"/>
      <c r="I50" s="13">
        <f>(F50+F49)/F55</f>
        <v>0.4875548657055282</v>
      </c>
      <c r="J50" s="180"/>
      <c r="L50" s="33"/>
      <c r="M50" s="33"/>
      <c r="N50" s="33"/>
      <c r="O50" s="33"/>
      <c r="Q50" s="33"/>
      <c r="R50" s="33"/>
      <c r="S50" s="33"/>
      <c r="U50" s="33"/>
      <c r="V50" s="33"/>
    </row>
    <row r="51" spans="1:22" ht="12.75">
      <c r="A51" s="5" t="s">
        <v>10</v>
      </c>
      <c r="B51" s="194">
        <v>4.3</v>
      </c>
      <c r="C51" s="6"/>
      <c r="D51" s="6"/>
      <c r="E51" s="6"/>
      <c r="F51" s="22">
        <f>E25</f>
        <v>93526.45084019421</v>
      </c>
      <c r="G51" s="6"/>
      <c r="H51" s="6"/>
      <c r="I51" s="13">
        <f>F51/F55</f>
        <v>0.1338026264843876</v>
      </c>
      <c r="J51" s="180"/>
      <c r="L51" s="33"/>
      <c r="M51" s="33"/>
      <c r="N51" s="33"/>
      <c r="O51" s="33"/>
      <c r="Q51" s="33"/>
      <c r="R51" s="33"/>
      <c r="S51" s="33"/>
      <c r="U51" s="33"/>
      <c r="V51" s="33"/>
    </row>
    <row r="52" spans="1:22" ht="12.75">
      <c r="A52" s="5" t="str">
        <f>I13</f>
        <v>Salario min actual</v>
      </c>
      <c r="B52" s="6">
        <f>K13</f>
        <v>1421.5</v>
      </c>
      <c r="C52" s="6"/>
      <c r="D52" s="6"/>
      <c r="E52" s="6"/>
      <c r="F52" s="22">
        <f>E32+E28+E33+E29+E30</f>
        <v>263180.5714285714</v>
      </c>
      <c r="G52" s="6"/>
      <c r="H52" s="6"/>
      <c r="I52" s="13">
        <f>F52/F55</f>
        <v>0.3765164975304616</v>
      </c>
      <c r="J52" s="180"/>
      <c r="K52" s="33"/>
      <c r="L52" s="33"/>
      <c r="M52" s="33"/>
      <c r="N52" s="33"/>
      <c r="O52" s="33"/>
      <c r="Q52" s="33"/>
      <c r="R52" s="33"/>
      <c r="S52" s="33"/>
      <c r="U52" s="33"/>
      <c r="V52" s="33"/>
    </row>
    <row r="53" spans="1:22" ht="13.5" thickBot="1">
      <c r="A53" s="69" t="s">
        <v>15</v>
      </c>
      <c r="B53" s="181">
        <v>0.052</v>
      </c>
      <c r="C53" s="29"/>
      <c r="D53" s="29"/>
      <c r="E53" s="29"/>
      <c r="F53" s="80">
        <f>E26</f>
        <v>1486.0559999999998</v>
      </c>
      <c r="G53" s="29"/>
      <c r="H53" s="29"/>
      <c r="I53" s="182">
        <f>F53/F55</f>
        <v>0.0021260102796227323</v>
      </c>
      <c r="J53" s="183">
        <f>SUM(I50:I53)</f>
        <v>1.0000000000000002</v>
      </c>
      <c r="K53" s="33"/>
      <c r="L53" s="33"/>
      <c r="M53" s="196">
        <v>40247</v>
      </c>
      <c r="N53" s="33" t="s">
        <v>300</v>
      </c>
      <c r="O53" s="33" t="s">
        <v>299</v>
      </c>
      <c r="Q53" s="33"/>
      <c r="R53" s="33" t="str">
        <f>O53</f>
        <v>julio08</v>
      </c>
      <c r="S53" s="33"/>
      <c r="U53" s="33"/>
      <c r="V53" s="33"/>
    </row>
    <row r="54" spans="1:22" ht="12.75">
      <c r="A54" s="33"/>
      <c r="B54" s="4">
        <v>102</v>
      </c>
      <c r="C54" s="33"/>
      <c r="D54" s="6"/>
      <c r="E54" s="7"/>
      <c r="F54" s="22"/>
      <c r="H54" s="12"/>
      <c r="N54" s="4" t="s">
        <v>0</v>
      </c>
      <c r="P54" s="193" t="s">
        <v>1</v>
      </c>
      <c r="S54" s="33"/>
      <c r="U54" s="33"/>
      <c r="V54" s="33"/>
    </row>
    <row r="55" spans="1:24" ht="12.75">
      <c r="A55" s="33"/>
      <c r="B55" s="33"/>
      <c r="C55" s="33"/>
      <c r="D55" s="12"/>
      <c r="E55" s="7"/>
      <c r="F55" s="22">
        <f>SUM(F49:F54)</f>
        <v>698988.1536526274</v>
      </c>
      <c r="H55" s="57"/>
      <c r="L55" s="4" t="s">
        <v>3</v>
      </c>
      <c r="M55" s="4">
        <f>B45*1000</f>
        <v>1938486.65259918</v>
      </c>
      <c r="N55" s="4">
        <v>1624565.1895264366</v>
      </c>
      <c r="O55" s="4">
        <v>1220071.827419604</v>
      </c>
      <c r="P55" s="4">
        <f>H45</f>
        <v>5.767857733211417</v>
      </c>
      <c r="Q55" s="193">
        <v>4030.2180240822277</v>
      </c>
      <c r="R55" s="4">
        <v>3133.5736333643063</v>
      </c>
      <c r="S55" s="4">
        <f>J45</f>
        <v>12.229479908542016</v>
      </c>
      <c r="T55" s="4">
        <v>7441.804922087745</v>
      </c>
      <c r="U55" s="4">
        <v>5695.724470945474</v>
      </c>
      <c r="V55" s="4">
        <f>K45/1000</f>
        <v>63.54437760478432</v>
      </c>
      <c r="W55" s="4">
        <f>(V55/S55)*T55</f>
        <v>38667.61837516793</v>
      </c>
      <c r="X55" s="4">
        <f>56957244.7094547/1000</f>
        <v>56957.2447094547</v>
      </c>
    </row>
    <row r="56" spans="1:24" ht="12.75">
      <c r="A56" s="33"/>
      <c r="B56" s="33"/>
      <c r="C56" s="33"/>
      <c r="D56" s="6"/>
      <c r="E56" s="6"/>
      <c r="F56" s="22"/>
      <c r="H56" s="6"/>
      <c r="L56" s="4" t="s">
        <v>292</v>
      </c>
      <c r="M56" s="4">
        <f>B46*1000</f>
        <v>850251.9418385231</v>
      </c>
      <c r="N56" s="4">
        <v>778336.4028478665</v>
      </c>
      <c r="O56" s="4">
        <v>586053.3446815088</v>
      </c>
      <c r="P56" s="4">
        <f>H46</f>
        <v>4.815500434322522</v>
      </c>
      <c r="Q56" s="193">
        <v>4011.644247613036</v>
      </c>
      <c r="R56" s="4">
        <v>3124.518013461665</v>
      </c>
      <c r="S56" s="4">
        <f>J46</f>
        <v>7.649673573784266</v>
      </c>
      <c r="T56" s="4">
        <v>6346.653456156636</v>
      </c>
      <c r="U56" s="4">
        <v>4882.678047506191</v>
      </c>
      <c r="V56" s="4">
        <f>K46/1000</f>
        <v>42.87663103534881</v>
      </c>
      <c r="W56" s="4">
        <f>(V56/S56)*T56</f>
        <v>35573.167393890646</v>
      </c>
      <c r="X56" s="4">
        <f>34178746.3325433/1000</f>
        <v>34178.7463325433</v>
      </c>
    </row>
    <row r="57" spans="1:24" ht="12.75">
      <c r="A57" s="33"/>
      <c r="B57" s="33"/>
      <c r="C57" s="33"/>
      <c r="D57" s="33"/>
      <c r="E57" s="33"/>
      <c r="F57" s="56"/>
      <c r="H57" s="33"/>
      <c r="L57" s="4" t="s">
        <v>291</v>
      </c>
      <c r="M57" s="4">
        <f>B47*1000</f>
        <v>547645.0964343598</v>
      </c>
      <c r="N57" s="4">
        <v>515878.22123562155</v>
      </c>
      <c r="O57" s="4">
        <v>389709.7474706246</v>
      </c>
      <c r="P57" s="4">
        <f>H47</f>
        <v>3.8852645918666795</v>
      </c>
      <c r="Q57" s="193">
        <v>3230.5123055473214</v>
      </c>
      <c r="R57" s="4">
        <v>2522.555870281594</v>
      </c>
      <c r="S57" s="4">
        <f>J47</f>
        <v>5.710748246647879</v>
      </c>
      <c r="T57" s="4">
        <v>4778.146969254186</v>
      </c>
      <c r="U57" s="4">
        <v>3691.6851126934675</v>
      </c>
      <c r="V57" s="4">
        <f>K47/1000</f>
        <v>31.688381844460817</v>
      </c>
      <c r="W57" s="4">
        <f>(V57/S57)*T57</f>
        <v>26513.46883651476</v>
      </c>
      <c r="X57" s="4">
        <f>25841795.7888543/1000</f>
        <v>25841.795788854302</v>
      </c>
    </row>
    <row r="58" spans="1:24" ht="12.75">
      <c r="A58" s="33"/>
      <c r="B58" s="33"/>
      <c r="C58" s="33"/>
      <c r="D58" s="33"/>
      <c r="E58" s="33"/>
      <c r="F58" s="56"/>
      <c r="H58" s="56"/>
      <c r="I58" s="56"/>
      <c r="J58" s="33"/>
      <c r="K58" s="33"/>
      <c r="L58" s="33"/>
      <c r="M58" s="33"/>
      <c r="N58" s="201"/>
      <c r="O58" s="178"/>
      <c r="P58" s="179"/>
      <c r="Q58" s="201"/>
      <c r="R58" s="178"/>
      <c r="S58" s="76"/>
      <c r="T58" s="201"/>
      <c r="U58" s="178"/>
      <c r="V58" s="76"/>
      <c r="W58" s="179"/>
      <c r="X58" s="179"/>
    </row>
    <row r="59" spans="1:24" ht="12.75">
      <c r="A59" s="56" t="s">
        <v>245</v>
      </c>
      <c r="B59" s="56" t="s">
        <v>246</v>
      </c>
      <c r="H59" s="24" t="s">
        <v>249</v>
      </c>
      <c r="I59" s="56" t="s">
        <v>247</v>
      </c>
      <c r="J59" s="56" t="s">
        <v>248</v>
      </c>
      <c r="K59" s="56" t="s">
        <v>250</v>
      </c>
      <c r="L59" s="56" t="s">
        <v>251</v>
      </c>
      <c r="M59" s="56" t="s">
        <v>252</v>
      </c>
      <c r="N59" s="201"/>
      <c r="O59" s="178"/>
      <c r="P59" s="179"/>
      <c r="Q59" s="201"/>
      <c r="R59" s="178"/>
      <c r="S59" s="76"/>
      <c r="T59" s="201"/>
      <c r="U59" s="178"/>
      <c r="V59" s="76"/>
      <c r="W59" s="179"/>
      <c r="X59" s="179"/>
    </row>
    <row r="60" spans="1:24" ht="12.75">
      <c r="A60" s="56" t="s">
        <v>301</v>
      </c>
      <c r="B60" s="56">
        <v>1</v>
      </c>
      <c r="H60" s="24">
        <f>($B$45)*B60</f>
        <v>1938.48665259918</v>
      </c>
      <c r="I60" s="56">
        <v>240</v>
      </c>
      <c r="J60" s="24">
        <f>($H$45)*I60</f>
        <v>1384.2858559707402</v>
      </c>
      <c r="K60" s="24">
        <f>+H60+J60</f>
        <v>3322.7725085699203</v>
      </c>
      <c r="L60" s="24">
        <f>($B$46*B60)+($H$46*I60)</f>
        <v>2005.9720460759286</v>
      </c>
      <c r="M60" s="24">
        <f>($B$47*B60)+($H$47*I60)</f>
        <v>1480.1085984823628</v>
      </c>
      <c r="N60" s="201"/>
      <c r="O60" s="178"/>
      <c r="P60" s="179"/>
      <c r="Q60" s="201"/>
      <c r="R60" s="178"/>
      <c r="S60" s="76"/>
      <c r="T60" s="201"/>
      <c r="U60" s="178"/>
      <c r="V60" s="76"/>
      <c r="W60" s="179"/>
      <c r="X60" s="179"/>
    </row>
    <row r="61" spans="1:24" ht="12.75">
      <c r="A61" s="56" t="s">
        <v>286</v>
      </c>
      <c r="B61" s="56">
        <v>1</v>
      </c>
      <c r="H61" s="24">
        <f>($B$45)*B61</f>
        <v>1938.48665259918</v>
      </c>
      <c r="I61" s="56">
        <f>63*2</f>
        <v>126</v>
      </c>
      <c r="J61" s="24">
        <f>($H$45)*I61</f>
        <v>726.7500743846385</v>
      </c>
      <c r="K61" s="24">
        <f>+H61+J61</f>
        <v>2665.2367269838187</v>
      </c>
      <c r="L61" s="24">
        <f>($B$46*B61)+($H$46*I61)</f>
        <v>1457.004996563161</v>
      </c>
      <c r="M61" s="24">
        <f>($B$47*B61)+($H$47*I61)</f>
        <v>1037.1884350095613</v>
      </c>
      <c r="N61" s="178"/>
      <c r="O61" s="178"/>
      <c r="P61" s="179"/>
      <c r="Q61" s="178"/>
      <c r="R61" s="178"/>
      <c r="S61" s="178"/>
      <c r="T61" s="76"/>
      <c r="U61" s="178"/>
      <c r="V61" s="76"/>
      <c r="W61" s="76"/>
      <c r="X61" s="201"/>
    </row>
    <row r="62" spans="1:24" ht="12.75">
      <c r="A62" s="33"/>
      <c r="B62" s="33"/>
      <c r="C62" s="33"/>
      <c r="D62" s="33"/>
      <c r="E62" s="33"/>
      <c r="F62" s="56"/>
      <c r="G62" s="33"/>
      <c r="J62" s="33"/>
      <c r="K62" s="33"/>
      <c r="L62" s="33"/>
      <c r="M62" s="33"/>
      <c r="N62" s="178"/>
      <c r="O62" s="178"/>
      <c r="P62" s="179"/>
      <c r="Q62" s="178"/>
      <c r="R62" s="178"/>
      <c r="S62" s="178"/>
      <c r="T62" s="76"/>
      <c r="U62" s="178"/>
      <c r="V62" s="76"/>
      <c r="W62" s="76"/>
      <c r="X62" s="201"/>
    </row>
    <row r="63" spans="1:24" ht="12.75">
      <c r="A63" s="33"/>
      <c r="B63" s="33"/>
      <c r="C63" s="33"/>
      <c r="D63" s="33"/>
      <c r="E63" s="33"/>
      <c r="F63" s="56"/>
      <c r="G63" s="33"/>
      <c r="J63" s="33"/>
      <c r="K63" s="33"/>
      <c r="L63" s="33"/>
      <c r="M63" s="33"/>
      <c r="N63" s="178"/>
      <c r="O63" s="178"/>
      <c r="P63" s="179"/>
      <c r="Q63" s="178"/>
      <c r="R63" s="178"/>
      <c r="S63" s="178"/>
      <c r="T63" s="76"/>
      <c r="U63" s="178"/>
      <c r="V63" s="76"/>
      <c r="W63" s="76"/>
      <c r="X63" s="201"/>
    </row>
    <row r="64" spans="1:24" ht="12.75">
      <c r="A64" s="33"/>
      <c r="B64" s="33"/>
      <c r="C64" s="33"/>
      <c r="D64" s="33"/>
      <c r="E64" s="33"/>
      <c r="F64" s="56"/>
      <c r="G64" s="33"/>
      <c r="J64" s="33"/>
      <c r="K64" s="33"/>
      <c r="L64" s="33"/>
      <c r="M64" s="33"/>
      <c r="N64" s="178"/>
      <c r="O64" s="178"/>
      <c r="P64" s="179"/>
      <c r="Q64" s="178"/>
      <c r="R64" s="178"/>
      <c r="S64" s="178"/>
      <c r="T64" s="76"/>
      <c r="U64" s="178"/>
      <c r="V64" s="76"/>
      <c r="W64" s="76"/>
      <c r="X64" s="76"/>
    </row>
    <row r="65" spans="4:24" ht="12.75">
      <c r="D65" s="4">
        <f>B46</f>
        <v>850.2519418385232</v>
      </c>
      <c r="E65" s="4">
        <f>H46</f>
        <v>4.815500434322522</v>
      </c>
      <c r="F65" s="4" t="s">
        <v>5</v>
      </c>
      <c r="G65" s="4">
        <f>B45</f>
        <v>1938.48665259918</v>
      </c>
      <c r="H65" s="4">
        <f>H45</f>
        <v>5.767857733211417</v>
      </c>
      <c r="I65" s="33" t="s">
        <v>279</v>
      </c>
      <c r="K65" s="33"/>
      <c r="L65" s="33"/>
      <c r="M65" s="33"/>
      <c r="N65" s="178"/>
      <c r="O65" s="178"/>
      <c r="P65" s="179"/>
      <c r="Q65" s="178"/>
      <c r="R65" s="178"/>
      <c r="S65" s="178"/>
      <c r="T65" s="76"/>
      <c r="U65" s="178"/>
      <c r="V65" s="76"/>
      <c r="W65" s="76"/>
      <c r="X65" s="76"/>
    </row>
    <row r="66" spans="1:24" ht="12.75">
      <c r="A66" s="33" t="s">
        <v>280</v>
      </c>
      <c r="B66" s="75">
        <v>2.5</v>
      </c>
      <c r="C66" s="4">
        <v>936</v>
      </c>
      <c r="D66" s="33">
        <f aca="true" t="shared" si="8" ref="D66:D71">B66*$D$65</f>
        <v>2125.629854596308</v>
      </c>
      <c r="E66" s="33">
        <f aca="true" t="shared" si="9" ref="E66:E71">C66*$E$65</f>
        <v>4507.308406525881</v>
      </c>
      <c r="F66" s="24">
        <f aca="true" t="shared" si="10" ref="F66:F71">D66+E66</f>
        <v>6632.938261122189</v>
      </c>
      <c r="G66" s="33">
        <f aca="true" t="shared" si="11" ref="G66:G71">B66*$G$65</f>
        <v>4846.2166314979495</v>
      </c>
      <c r="H66" s="33">
        <f aca="true" t="shared" si="12" ref="H66:H71">C66*$H$65</f>
        <v>5398.714838285887</v>
      </c>
      <c r="I66" s="24">
        <f aca="true" t="shared" si="13" ref="I66:I71">G66+H66</f>
        <v>10244.931469783836</v>
      </c>
      <c r="J66" s="33"/>
      <c r="K66" s="33"/>
      <c r="L66" s="33"/>
      <c r="M66" s="33"/>
      <c r="N66" s="178"/>
      <c r="O66" s="178"/>
      <c r="P66" s="179"/>
      <c r="Q66" s="178"/>
      <c r="R66" s="178"/>
      <c r="S66" s="178"/>
      <c r="T66" s="76"/>
      <c r="U66" s="178"/>
      <c r="V66" s="76"/>
      <c r="W66" s="76"/>
      <c r="X66" s="76"/>
    </row>
    <row r="67" spans="1:24" ht="13.5" thickBot="1">
      <c r="A67" s="33" t="s">
        <v>281</v>
      </c>
      <c r="B67" s="75">
        <v>1</v>
      </c>
      <c r="C67" s="33">
        <v>316</v>
      </c>
      <c r="D67" s="33">
        <f t="shared" si="8"/>
        <v>850.2519418385232</v>
      </c>
      <c r="E67" s="33">
        <f t="shared" si="9"/>
        <v>1521.698137245917</v>
      </c>
      <c r="F67" s="24">
        <f t="shared" si="10"/>
        <v>2371.9500790844404</v>
      </c>
      <c r="G67" s="33">
        <f t="shared" si="11"/>
        <v>1938.48665259918</v>
      </c>
      <c r="H67" s="33">
        <f t="shared" si="12"/>
        <v>1822.6430436948078</v>
      </c>
      <c r="I67" s="24">
        <f t="shared" si="13"/>
        <v>3761.1296962939878</v>
      </c>
      <c r="J67" s="33"/>
      <c r="K67" s="33"/>
      <c r="L67" s="33"/>
      <c r="M67" s="33"/>
      <c r="N67" s="178"/>
      <c r="O67" s="178"/>
      <c r="P67" s="179"/>
      <c r="Q67" s="178"/>
      <c r="R67" s="178"/>
      <c r="S67" s="178"/>
      <c r="T67" s="76"/>
      <c r="U67" s="178"/>
      <c r="V67" s="178"/>
      <c r="W67" s="76"/>
      <c r="X67" s="76"/>
    </row>
    <row r="68" spans="1:22" ht="13.5" thickBot="1">
      <c r="A68" s="33" t="s">
        <v>282</v>
      </c>
      <c r="B68" s="75">
        <v>3</v>
      </c>
      <c r="C68" s="33">
        <v>1550</v>
      </c>
      <c r="D68" s="33">
        <f t="shared" si="8"/>
        <v>2550.7558255155695</v>
      </c>
      <c r="E68" s="33">
        <f t="shared" si="9"/>
        <v>7464.025673199909</v>
      </c>
      <c r="F68" s="24">
        <f t="shared" si="10"/>
        <v>10014.781498715478</v>
      </c>
      <c r="G68" s="33">
        <f t="shared" si="11"/>
        <v>5815.45995779754</v>
      </c>
      <c r="H68" s="33">
        <f t="shared" si="12"/>
        <v>8940.179486477697</v>
      </c>
      <c r="I68" s="24">
        <f>E68+H68</f>
        <v>16404.205159677607</v>
      </c>
      <c r="J68" s="33">
        <f>C68/2</f>
        <v>775</v>
      </c>
      <c r="K68" s="33">
        <f>J68*H45</f>
        <v>4470.089743238848</v>
      </c>
      <c r="L68" s="33">
        <f>2*B45</f>
        <v>3876.97330519836</v>
      </c>
      <c r="M68" s="187">
        <f>K68+L68</f>
        <v>8347.063048437209</v>
      </c>
      <c r="N68" s="187">
        <f>M68*1.2</f>
        <v>10016.47565812465</v>
      </c>
      <c r="O68" s="33"/>
      <c r="Q68" s="33"/>
      <c r="R68" s="33"/>
      <c r="S68" s="33"/>
      <c r="U68" s="33"/>
      <c r="V68" s="33"/>
    </row>
    <row r="69" spans="1:22" ht="12.75">
      <c r="A69" s="33" t="s">
        <v>283</v>
      </c>
      <c r="B69" s="75">
        <v>3</v>
      </c>
      <c r="C69" s="33">
        <v>1098</v>
      </c>
      <c r="D69" s="33">
        <f t="shared" si="8"/>
        <v>2550.7558255155695</v>
      </c>
      <c r="E69" s="33">
        <f t="shared" si="9"/>
        <v>5287.419476886129</v>
      </c>
      <c r="F69" s="24">
        <f t="shared" si="10"/>
        <v>7838.175302401698</v>
      </c>
      <c r="G69" s="33">
        <f t="shared" si="11"/>
        <v>5815.45995779754</v>
      </c>
      <c r="H69" s="33">
        <f t="shared" si="12"/>
        <v>6333.107791066136</v>
      </c>
      <c r="I69" s="24">
        <f t="shared" si="13"/>
        <v>12148.567748863676</v>
      </c>
      <c r="J69" s="33">
        <f>I68*1.2</f>
        <v>19685.046191613128</v>
      </c>
      <c r="K69" s="33"/>
      <c r="L69" s="33"/>
      <c r="M69" s="33"/>
      <c r="N69" s="33"/>
      <c r="O69" s="33"/>
      <c r="Q69" s="33"/>
      <c r="R69" s="33"/>
      <c r="S69" s="33"/>
      <c r="U69" s="33"/>
      <c r="V69" s="33"/>
    </row>
    <row r="70" spans="1:22" ht="12.75">
      <c r="A70" s="33" t="s">
        <v>284</v>
      </c>
      <c r="B70" s="75">
        <v>1</v>
      </c>
      <c r="C70" s="33">
        <v>110</v>
      </c>
      <c r="D70" s="33">
        <f t="shared" si="8"/>
        <v>850.2519418385232</v>
      </c>
      <c r="E70" s="33">
        <f t="shared" si="9"/>
        <v>529.7050477754774</v>
      </c>
      <c r="F70" s="24">
        <f t="shared" si="10"/>
        <v>1379.9569896140006</v>
      </c>
      <c r="G70" s="33">
        <f t="shared" si="11"/>
        <v>1938.48665259918</v>
      </c>
      <c r="H70" s="33">
        <f t="shared" si="12"/>
        <v>634.4643506532559</v>
      </c>
      <c r="I70" s="24">
        <f t="shared" si="13"/>
        <v>2572.951003252436</v>
      </c>
      <c r="J70" s="4">
        <f>B45</f>
        <v>1938.48665259918</v>
      </c>
      <c r="K70" s="33">
        <f>C70*H45</f>
        <v>634.4643506532559</v>
      </c>
      <c r="L70" s="4">
        <f>J70+K70</f>
        <v>2572.951003252436</v>
      </c>
      <c r="M70" s="33"/>
      <c r="N70" s="33"/>
      <c r="O70" s="33"/>
      <c r="Q70" s="33"/>
      <c r="R70" s="33"/>
      <c r="S70" s="33"/>
      <c r="U70" s="33"/>
      <c r="V70" s="33"/>
    </row>
    <row r="71" spans="1:22" ht="12.75">
      <c r="A71" s="33" t="s">
        <v>285</v>
      </c>
      <c r="B71" s="75">
        <v>2.5</v>
      </c>
      <c r="C71" s="33">
        <v>956</v>
      </c>
      <c r="D71" s="33">
        <f t="shared" si="8"/>
        <v>2125.629854596308</v>
      </c>
      <c r="E71" s="33">
        <f t="shared" si="9"/>
        <v>4603.6184152123315</v>
      </c>
      <c r="F71" s="24">
        <f t="shared" si="10"/>
        <v>6729.24826980864</v>
      </c>
      <c r="G71" s="33">
        <f t="shared" si="11"/>
        <v>4846.2166314979495</v>
      </c>
      <c r="H71" s="33">
        <f t="shared" si="12"/>
        <v>5514.071992950115</v>
      </c>
      <c r="I71" s="24">
        <f t="shared" si="13"/>
        <v>10360.288624448065</v>
      </c>
      <c r="J71" s="33"/>
      <c r="K71" s="33"/>
      <c r="L71" s="33">
        <f>L70*1.2</f>
        <v>3087.541203902923</v>
      </c>
      <c r="M71" s="33"/>
      <c r="N71" s="33"/>
      <c r="O71" s="33"/>
      <c r="Q71" s="33"/>
      <c r="R71" s="33"/>
      <c r="S71" s="33"/>
      <c r="U71" s="33"/>
      <c r="V71" s="33"/>
    </row>
    <row r="72" spans="1:22" ht="12.75">
      <c r="A72" s="33"/>
      <c r="B72" s="75"/>
      <c r="C72" s="33"/>
      <c r="D72" s="33"/>
      <c r="E72" s="33"/>
      <c r="F72" s="56"/>
      <c r="G72" s="33"/>
      <c r="H72" s="33"/>
      <c r="I72" s="33"/>
      <c r="J72" s="33"/>
      <c r="K72" s="33"/>
      <c r="L72" s="33"/>
      <c r="M72" s="33"/>
      <c r="N72" s="33"/>
      <c r="O72" s="33"/>
      <c r="Q72" s="33"/>
      <c r="R72" s="33"/>
      <c r="S72" s="33"/>
      <c r="U72" s="33"/>
      <c r="V72" s="33"/>
    </row>
    <row r="73" spans="1:22" ht="12.75">
      <c r="A73" s="33"/>
      <c r="B73" s="75"/>
      <c r="C73" s="33"/>
      <c r="D73" s="33"/>
      <c r="E73" s="33"/>
      <c r="F73" s="56"/>
      <c r="G73" s="33"/>
      <c r="H73" s="33"/>
      <c r="I73" s="33"/>
      <c r="J73" s="33"/>
      <c r="K73" s="33"/>
      <c r="L73" s="33"/>
      <c r="M73" s="33"/>
      <c r="N73" s="33"/>
      <c r="O73" s="33"/>
      <c r="Q73" s="33"/>
      <c r="R73" s="33"/>
      <c r="S73" s="33"/>
      <c r="U73" s="33"/>
      <c r="V73" s="33"/>
    </row>
    <row r="74" spans="1:22" ht="12.75">
      <c r="A74" s="33"/>
      <c r="B74" s="75"/>
      <c r="C74" s="33"/>
      <c r="D74" s="33"/>
      <c r="E74" s="33"/>
      <c r="F74" s="56"/>
      <c r="G74" s="33"/>
      <c r="H74" s="33"/>
      <c r="I74" s="33"/>
      <c r="J74" s="33"/>
      <c r="K74" s="33"/>
      <c r="L74" s="33"/>
      <c r="M74" s="33"/>
      <c r="N74" s="33"/>
      <c r="O74" s="33"/>
      <c r="Q74" s="33"/>
      <c r="R74" s="33"/>
      <c r="S74" s="33"/>
      <c r="U74" s="33"/>
      <c r="V74" s="33"/>
    </row>
    <row r="75" spans="1:22" ht="12.75">
      <c r="A75" s="33"/>
      <c r="B75" s="75"/>
      <c r="C75" s="33"/>
      <c r="D75" s="33"/>
      <c r="E75" s="33"/>
      <c r="F75" s="56"/>
      <c r="G75" s="33"/>
      <c r="H75" s="33"/>
      <c r="I75" s="33"/>
      <c r="J75" s="33"/>
      <c r="K75" s="33"/>
      <c r="L75" s="33"/>
      <c r="M75" s="33"/>
      <c r="N75" s="33"/>
      <c r="O75" s="33"/>
      <c r="Q75" s="33"/>
      <c r="R75" s="33"/>
      <c r="S75" s="33"/>
      <c r="U75" s="33"/>
      <c r="V75" s="33"/>
    </row>
    <row r="76" spans="1:22" ht="12.75">
      <c r="A76" s="33"/>
      <c r="B76" s="75"/>
      <c r="C76" s="33"/>
      <c r="D76" s="33"/>
      <c r="E76" s="33"/>
      <c r="F76" s="56"/>
      <c r="G76" s="33"/>
      <c r="H76" s="33"/>
      <c r="I76" s="33"/>
      <c r="J76" s="33"/>
      <c r="K76" s="33"/>
      <c r="L76" s="33"/>
      <c r="M76" s="33"/>
      <c r="N76" s="33"/>
      <c r="O76" s="33"/>
      <c r="Q76" s="33"/>
      <c r="R76" s="33"/>
      <c r="S76" s="33"/>
      <c r="U76" s="33"/>
      <c r="V76" s="33"/>
    </row>
    <row r="77" spans="1:22" ht="12.75">
      <c r="A77" s="33"/>
      <c r="B77" s="75"/>
      <c r="C77" s="33"/>
      <c r="D77" s="33"/>
      <c r="E77" s="33"/>
      <c r="F77" s="56"/>
      <c r="G77" s="33"/>
      <c r="H77" s="33"/>
      <c r="I77" s="33"/>
      <c r="J77" s="33"/>
      <c r="K77" s="33"/>
      <c r="L77" s="33"/>
      <c r="M77" s="33"/>
      <c r="N77" s="33"/>
      <c r="O77" s="33"/>
      <c r="Q77" s="33"/>
      <c r="R77" s="33"/>
      <c r="S77" s="33"/>
      <c r="U77" s="33"/>
      <c r="V77" s="33"/>
    </row>
    <row r="78" spans="1:22" ht="12.75">
      <c r="A78" s="33"/>
      <c r="B78" s="75"/>
      <c r="C78" s="33"/>
      <c r="D78" s="33"/>
      <c r="E78" s="33"/>
      <c r="F78" s="56"/>
      <c r="G78" s="33"/>
      <c r="H78" s="33"/>
      <c r="I78" s="33"/>
      <c r="J78" s="33"/>
      <c r="K78" s="33"/>
      <c r="L78" s="33"/>
      <c r="M78" s="33"/>
      <c r="N78" s="33"/>
      <c r="O78" s="33"/>
      <c r="Q78" s="33"/>
      <c r="R78" s="33"/>
      <c r="S78" s="33"/>
      <c r="U78" s="33"/>
      <c r="V78" s="33"/>
    </row>
    <row r="79" spans="1:22" ht="12.75">
      <c r="A79" s="33"/>
      <c r="B79" s="75"/>
      <c r="C79" s="33"/>
      <c r="D79" s="33"/>
      <c r="E79" s="33"/>
      <c r="F79" s="56"/>
      <c r="G79" s="33"/>
      <c r="H79" s="33"/>
      <c r="I79" s="33"/>
      <c r="J79" s="33"/>
      <c r="K79" s="33"/>
      <c r="L79" s="33"/>
      <c r="M79" s="33"/>
      <c r="N79" s="33"/>
      <c r="O79" s="33"/>
      <c r="Q79" s="33"/>
      <c r="R79" s="33"/>
      <c r="S79" s="33"/>
      <c r="U79" s="33"/>
      <c r="V79" s="33"/>
    </row>
    <row r="80" spans="1:22" ht="12.75">
      <c r="A80" s="33"/>
      <c r="B80" s="75"/>
      <c r="C80" s="33"/>
      <c r="D80" s="33"/>
      <c r="E80" s="33"/>
      <c r="F80" s="56"/>
      <c r="G80" s="33"/>
      <c r="H80" s="33"/>
      <c r="I80" s="33"/>
      <c r="J80" s="33"/>
      <c r="K80" s="33"/>
      <c r="L80" s="33"/>
      <c r="M80" s="33"/>
      <c r="N80" s="33"/>
      <c r="O80" s="33"/>
      <c r="Q80" s="33"/>
      <c r="R80" s="33"/>
      <c r="S80" s="33"/>
      <c r="U80" s="33"/>
      <c r="V80" s="33"/>
    </row>
    <row r="81" spans="1:22" ht="12.75">
      <c r="A81" s="33"/>
      <c r="B81" s="75"/>
      <c r="C81" s="33"/>
      <c r="D81" s="33"/>
      <c r="E81" s="33"/>
      <c r="F81" s="56"/>
      <c r="G81" s="33"/>
      <c r="H81" s="33"/>
      <c r="I81" s="33"/>
      <c r="J81" s="33"/>
      <c r="K81" s="33"/>
      <c r="L81" s="33"/>
      <c r="M81" s="33"/>
      <c r="N81" s="33"/>
      <c r="O81" s="33"/>
      <c r="Q81" s="33"/>
      <c r="R81" s="33"/>
      <c r="S81" s="33"/>
      <c r="U81" s="33"/>
      <c r="V81" s="33"/>
    </row>
    <row r="82" spans="1:22" ht="12.75">
      <c r="A82" s="33"/>
      <c r="B82" s="75"/>
      <c r="C82" s="33"/>
      <c r="D82" s="33"/>
      <c r="E82" s="33"/>
      <c r="F82" s="56"/>
      <c r="G82" s="33"/>
      <c r="H82" s="33"/>
      <c r="I82" s="33"/>
      <c r="J82" s="33"/>
      <c r="K82" s="33"/>
      <c r="L82" s="33"/>
      <c r="M82" s="33"/>
      <c r="N82" s="33"/>
      <c r="O82" s="33"/>
      <c r="Q82" s="33"/>
      <c r="R82" s="33"/>
      <c r="S82" s="33"/>
      <c r="U82" s="33"/>
      <c r="V82" s="33"/>
    </row>
    <row r="83" spans="1:22" ht="12.75">
      <c r="A83" s="33"/>
      <c r="B83" s="75"/>
      <c r="C83" s="33"/>
      <c r="D83" s="33"/>
      <c r="E83" s="33"/>
      <c r="F83" s="56"/>
      <c r="G83" s="33"/>
      <c r="H83" s="33"/>
      <c r="I83" s="33"/>
      <c r="J83" s="33"/>
      <c r="K83" s="33"/>
      <c r="L83" s="33"/>
      <c r="M83" s="33"/>
      <c r="N83" s="33"/>
      <c r="O83" s="33"/>
      <c r="Q83" s="33"/>
      <c r="R83" s="33"/>
      <c r="S83" s="33"/>
      <c r="U83" s="33"/>
      <c r="V83" s="33"/>
    </row>
    <row r="84" spans="1:22" ht="12.75">
      <c r="A84" s="33"/>
      <c r="B84" s="33"/>
      <c r="C84" s="33"/>
      <c r="D84" s="33"/>
      <c r="E84" s="33"/>
      <c r="F84" s="56"/>
      <c r="G84" s="33"/>
      <c r="H84" s="33"/>
      <c r="I84" s="33"/>
      <c r="J84" s="33"/>
      <c r="K84" s="33"/>
      <c r="L84" s="33"/>
      <c r="M84" s="33"/>
      <c r="N84" s="33"/>
      <c r="O84" s="33"/>
      <c r="Q84" s="33"/>
      <c r="R84" s="33"/>
      <c r="S84" s="33"/>
      <c r="U84" s="33"/>
      <c r="V84" s="33"/>
    </row>
    <row r="85" spans="1:22" ht="12.75">
      <c r="A85" s="33"/>
      <c r="B85" s="33"/>
      <c r="C85" s="33"/>
      <c r="D85" s="33"/>
      <c r="E85" s="33"/>
      <c r="F85" s="56"/>
      <c r="G85" s="33"/>
      <c r="H85" s="33"/>
      <c r="I85" s="33"/>
      <c r="J85" s="33"/>
      <c r="K85" s="33"/>
      <c r="L85" s="33"/>
      <c r="M85" s="33"/>
      <c r="N85" s="33"/>
      <c r="O85" s="33"/>
      <c r="Q85" s="33"/>
      <c r="R85" s="33"/>
      <c r="S85" s="33"/>
      <c r="U85" s="33"/>
      <c r="V85" s="33"/>
    </row>
    <row r="86" spans="1:22" ht="12.75">
      <c r="A86" s="33"/>
      <c r="B86" s="33"/>
      <c r="C86" s="33"/>
      <c r="D86" s="33"/>
      <c r="E86" s="33"/>
      <c r="F86" s="56"/>
      <c r="G86" s="33"/>
      <c r="H86" s="33"/>
      <c r="I86" s="33"/>
      <c r="J86" s="33"/>
      <c r="K86" s="33"/>
      <c r="L86" s="33"/>
      <c r="M86" s="33"/>
      <c r="N86" s="33"/>
      <c r="O86" s="33"/>
      <c r="Q86" s="33"/>
      <c r="R86" s="33"/>
      <c r="S86" s="33"/>
      <c r="T86" s="33"/>
      <c r="U86" s="33"/>
      <c r="V86" s="33"/>
    </row>
    <row r="87" spans="1:22" ht="12.75">
      <c r="A87" s="33"/>
      <c r="B87" s="33"/>
      <c r="C87" s="33"/>
      <c r="D87" s="33"/>
      <c r="E87" s="33"/>
      <c r="F87" s="56"/>
      <c r="G87" s="33"/>
      <c r="H87" s="33"/>
      <c r="I87" s="33"/>
      <c r="J87" s="33"/>
      <c r="K87" s="33"/>
      <c r="L87" s="33"/>
      <c r="M87" s="33"/>
      <c r="N87" s="33"/>
      <c r="O87" s="33"/>
      <c r="Q87" s="33"/>
      <c r="R87" s="33"/>
      <c r="S87" s="33"/>
      <c r="T87" s="33"/>
      <c r="U87" s="33"/>
      <c r="V87" s="33"/>
    </row>
    <row r="88" spans="1:22" ht="12.75">
      <c r="A88" s="33"/>
      <c r="B88" s="33"/>
      <c r="C88" s="33"/>
      <c r="D88" s="33"/>
      <c r="E88" s="33"/>
      <c r="F88" s="56"/>
      <c r="G88" s="33"/>
      <c r="H88" s="33"/>
      <c r="I88" s="33"/>
      <c r="J88" s="33"/>
      <c r="K88" s="33"/>
      <c r="L88" s="33"/>
      <c r="M88" s="33"/>
      <c r="N88" s="33"/>
      <c r="O88" s="33"/>
      <c r="Q88" s="33"/>
      <c r="R88" s="33"/>
      <c r="S88" s="33"/>
      <c r="T88" s="33"/>
      <c r="U88" s="33"/>
      <c r="V88" s="33"/>
    </row>
    <row r="89" spans="1:22" ht="12.75">
      <c r="A89" s="33"/>
      <c r="B89" s="33"/>
      <c r="C89" s="33"/>
      <c r="D89" s="33"/>
      <c r="E89" s="33"/>
      <c r="F89" s="56"/>
      <c r="G89" s="33"/>
      <c r="H89" s="33"/>
      <c r="I89" s="33"/>
      <c r="J89" s="33"/>
      <c r="K89" s="33"/>
      <c r="L89" s="33"/>
      <c r="M89" s="33"/>
      <c r="N89" s="33"/>
      <c r="O89" s="33"/>
      <c r="Q89" s="33"/>
      <c r="R89" s="33"/>
      <c r="S89" s="33"/>
      <c r="T89" s="33"/>
      <c r="U89" s="33"/>
      <c r="V89" s="33"/>
    </row>
    <row r="90" spans="1:22" ht="12.75">
      <c r="A90" s="33"/>
      <c r="B90" s="33"/>
      <c r="C90" s="33"/>
      <c r="D90" s="33"/>
      <c r="E90" s="33"/>
      <c r="F90" s="56"/>
      <c r="G90" s="33"/>
      <c r="H90" s="33"/>
      <c r="I90" s="33"/>
      <c r="J90" s="33"/>
      <c r="K90" s="33"/>
      <c r="L90" s="33"/>
      <c r="M90" s="33"/>
      <c r="N90" s="33"/>
      <c r="O90" s="33"/>
      <c r="Q90" s="33"/>
      <c r="R90" s="33"/>
      <c r="S90" s="33"/>
      <c r="T90" s="33"/>
      <c r="U90" s="33"/>
      <c r="V90" s="33"/>
    </row>
    <row r="91" spans="1:22" ht="12.75">
      <c r="A91" s="33"/>
      <c r="B91" s="33"/>
      <c r="C91" s="33"/>
      <c r="D91" s="33"/>
      <c r="E91" s="33"/>
      <c r="F91" s="56"/>
      <c r="G91" s="33"/>
      <c r="H91" s="33"/>
      <c r="I91" s="33"/>
      <c r="J91" s="33"/>
      <c r="K91" s="33"/>
      <c r="L91" s="33"/>
      <c r="M91" s="33"/>
      <c r="N91" s="33"/>
      <c r="O91" s="33"/>
      <c r="Q91" s="33"/>
      <c r="R91" s="33"/>
      <c r="S91" s="33"/>
      <c r="T91" s="33"/>
      <c r="U91" s="33"/>
      <c r="V91" s="33"/>
    </row>
    <row r="92" spans="1:22" ht="12.75">
      <c r="A92" s="33"/>
      <c r="B92" s="33"/>
      <c r="C92" s="33"/>
      <c r="D92" s="33"/>
      <c r="E92" s="33"/>
      <c r="F92" s="56"/>
      <c r="G92" s="33"/>
      <c r="H92" s="33"/>
      <c r="I92" s="33"/>
      <c r="J92" s="33"/>
      <c r="K92" s="33"/>
      <c r="L92" s="33"/>
      <c r="M92" s="33"/>
      <c r="N92" s="33"/>
      <c r="O92" s="33"/>
      <c r="Q92" s="33"/>
      <c r="R92" s="33"/>
      <c r="S92" s="33"/>
      <c r="T92" s="33"/>
      <c r="U92" s="33"/>
      <c r="V92" s="33"/>
    </row>
    <row r="93" spans="1:22" ht="12.75">
      <c r="A93" s="33"/>
      <c r="B93" s="33"/>
      <c r="C93" s="33"/>
      <c r="D93" s="33"/>
      <c r="E93" s="33"/>
      <c r="F93" s="56"/>
      <c r="G93" s="33"/>
      <c r="H93" s="33"/>
      <c r="I93" s="33"/>
      <c r="J93" s="33"/>
      <c r="K93" s="33"/>
      <c r="L93" s="33"/>
      <c r="M93" s="33"/>
      <c r="N93" s="33"/>
      <c r="O93" s="33"/>
      <c r="Q93" s="33"/>
      <c r="R93" s="33"/>
      <c r="S93" s="33"/>
      <c r="T93" s="33"/>
      <c r="U93" s="33"/>
      <c r="V93" s="33"/>
    </row>
    <row r="94" spans="1:22" ht="12.75">
      <c r="A94" s="33"/>
      <c r="B94" s="33"/>
      <c r="C94" s="33"/>
      <c r="D94" s="33"/>
      <c r="E94" s="33"/>
      <c r="F94" s="56"/>
      <c r="G94" s="33"/>
      <c r="H94" s="33"/>
      <c r="I94" s="33"/>
      <c r="J94" s="33"/>
      <c r="K94" s="33"/>
      <c r="L94" s="33"/>
      <c r="M94" s="33"/>
      <c r="N94" s="33"/>
      <c r="O94" s="33"/>
      <c r="Q94" s="33"/>
      <c r="R94" s="33"/>
      <c r="S94" s="33"/>
      <c r="T94" s="33"/>
      <c r="U94" s="33"/>
      <c r="V94" s="33"/>
    </row>
    <row r="95" spans="1:22" ht="12.75">
      <c r="A95" s="33"/>
      <c r="B95" s="33"/>
      <c r="C95" s="33"/>
      <c r="D95" s="33"/>
      <c r="E95" s="33"/>
      <c r="F95" s="56"/>
      <c r="G95" s="33"/>
      <c r="H95" s="33"/>
      <c r="I95" s="33"/>
      <c r="J95" s="33"/>
      <c r="K95" s="33"/>
      <c r="L95" s="33"/>
      <c r="M95" s="33"/>
      <c r="N95" s="33"/>
      <c r="O95" s="33"/>
      <c r="Q95" s="33"/>
      <c r="R95" s="33"/>
      <c r="S95" s="33"/>
      <c r="T95" s="33"/>
      <c r="U95" s="33"/>
      <c r="V95" s="33"/>
    </row>
    <row r="96" spans="1:22" ht="12.75">
      <c r="A96" s="33"/>
      <c r="B96" s="33"/>
      <c r="C96" s="33"/>
      <c r="D96" s="33"/>
      <c r="E96" s="33"/>
      <c r="F96" s="56"/>
      <c r="G96" s="33"/>
      <c r="H96" s="33"/>
      <c r="I96" s="33"/>
      <c r="J96" s="33"/>
      <c r="K96" s="33"/>
      <c r="L96" s="33"/>
      <c r="M96" s="33"/>
      <c r="N96" s="33"/>
      <c r="O96" s="33"/>
      <c r="Q96" s="33"/>
      <c r="R96" s="33"/>
      <c r="S96" s="33"/>
      <c r="T96" s="33"/>
      <c r="U96" s="33"/>
      <c r="V96" s="33"/>
    </row>
    <row r="97" spans="1:22" ht="12.75">
      <c r="A97" s="33"/>
      <c r="B97" s="33"/>
      <c r="C97" s="33"/>
      <c r="D97" s="33"/>
      <c r="E97" s="33"/>
      <c r="F97" s="56"/>
      <c r="G97" s="33"/>
      <c r="H97" s="33"/>
      <c r="I97" s="33"/>
      <c r="J97" s="33"/>
      <c r="K97" s="33"/>
      <c r="L97" s="33"/>
      <c r="M97" s="33"/>
      <c r="N97" s="33"/>
      <c r="O97" s="33"/>
      <c r="Q97" s="33"/>
      <c r="R97" s="33"/>
      <c r="S97" s="33"/>
      <c r="T97" s="33"/>
      <c r="U97" s="33"/>
      <c r="V97" s="33"/>
    </row>
    <row r="98" spans="1:22" ht="12.75">
      <c r="A98" s="33"/>
      <c r="B98" s="33"/>
      <c r="C98" s="33"/>
      <c r="D98" s="33"/>
      <c r="E98" s="33"/>
      <c r="F98" s="56"/>
      <c r="G98" s="33"/>
      <c r="H98" s="33"/>
      <c r="I98" s="33"/>
      <c r="J98" s="33"/>
      <c r="K98" s="33"/>
      <c r="L98" s="33"/>
      <c r="M98" s="33"/>
      <c r="N98" s="33"/>
      <c r="O98" s="33"/>
      <c r="Q98" s="33"/>
      <c r="R98" s="33"/>
      <c r="S98" s="33"/>
      <c r="T98" s="33"/>
      <c r="U98" s="33"/>
      <c r="V98" s="33"/>
    </row>
    <row r="99" spans="1:22" ht="12.75">
      <c r="A99" s="33"/>
      <c r="B99" s="33"/>
      <c r="C99" s="33"/>
      <c r="D99" s="33"/>
      <c r="E99" s="33"/>
      <c r="F99" s="56"/>
      <c r="G99" s="33"/>
      <c r="H99" s="33"/>
      <c r="I99" s="33"/>
      <c r="J99" s="33"/>
      <c r="K99" s="33"/>
      <c r="L99" s="33"/>
      <c r="M99" s="33"/>
      <c r="N99" s="33"/>
      <c r="O99" s="33"/>
      <c r="Q99" s="33"/>
      <c r="R99" s="33"/>
      <c r="S99" s="33"/>
      <c r="T99" s="33"/>
      <c r="U99" s="33"/>
      <c r="V99" s="33"/>
    </row>
    <row r="100" spans="1:22" ht="12.75">
      <c r="A100" s="33"/>
      <c r="B100" s="33"/>
      <c r="C100" s="33"/>
      <c r="D100" s="33"/>
      <c r="E100" s="33"/>
      <c r="F100" s="56"/>
      <c r="G100" s="33"/>
      <c r="H100" s="33"/>
      <c r="I100" s="33"/>
      <c r="J100" s="33"/>
      <c r="K100" s="33"/>
      <c r="L100" s="33"/>
      <c r="M100" s="33"/>
      <c r="N100" s="33"/>
      <c r="O100" s="33"/>
      <c r="Q100" s="33"/>
      <c r="R100" s="33"/>
      <c r="S100" s="33"/>
      <c r="T100" s="33"/>
      <c r="U100" s="33"/>
      <c r="V100" s="33"/>
    </row>
    <row r="101" spans="1:22" ht="12.75">
      <c r="A101" s="33"/>
      <c r="B101" s="33"/>
      <c r="C101" s="33"/>
      <c r="D101" s="33"/>
      <c r="E101" s="33"/>
      <c r="F101" s="56"/>
      <c r="G101" s="33"/>
      <c r="H101" s="33"/>
      <c r="I101" s="33"/>
      <c r="J101" s="33"/>
      <c r="K101" s="33"/>
      <c r="L101" s="33"/>
      <c r="M101" s="33"/>
      <c r="N101" s="33"/>
      <c r="O101" s="33"/>
      <c r="Q101" s="33"/>
      <c r="R101" s="33"/>
      <c r="S101" s="33"/>
      <c r="T101" s="33"/>
      <c r="U101" s="33"/>
      <c r="V101" s="33"/>
    </row>
    <row r="102" spans="1:22" ht="12.75">
      <c r="A102" s="33"/>
      <c r="B102" s="33"/>
      <c r="C102" s="33"/>
      <c r="D102" s="33"/>
      <c r="E102" s="33"/>
      <c r="F102" s="56"/>
      <c r="G102" s="33"/>
      <c r="H102" s="33"/>
      <c r="I102" s="33"/>
      <c r="J102" s="33"/>
      <c r="K102" s="33"/>
      <c r="L102" s="33"/>
      <c r="M102" s="33"/>
      <c r="N102" s="33"/>
      <c r="O102" s="33"/>
      <c r="Q102" s="33"/>
      <c r="R102" s="33"/>
      <c r="S102" s="33"/>
      <c r="T102" s="33"/>
      <c r="U102" s="33"/>
      <c r="V102" s="33"/>
    </row>
    <row r="103" spans="1:22" ht="12.75">
      <c r="A103" s="33"/>
      <c r="B103" s="33"/>
      <c r="C103" s="33"/>
      <c r="D103" s="33"/>
      <c r="E103" s="33"/>
      <c r="F103" s="56"/>
      <c r="G103" s="33"/>
      <c r="H103" s="33"/>
      <c r="I103" s="33"/>
      <c r="J103" s="33"/>
      <c r="K103" s="33"/>
      <c r="L103" s="33"/>
      <c r="M103" s="33"/>
      <c r="N103" s="33"/>
      <c r="O103" s="33"/>
      <c r="Q103" s="33"/>
      <c r="R103" s="33"/>
      <c r="S103" s="33"/>
      <c r="T103" s="33"/>
      <c r="U103" s="33"/>
      <c r="V103" s="3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3"/>
  <sheetViews>
    <sheetView zoomScalePageLayoutView="0" workbookViewId="0" topLeftCell="A32">
      <selection activeCell="K45" sqref="K45"/>
    </sheetView>
  </sheetViews>
  <sheetFormatPr defaultColWidth="11.421875" defaultRowHeight="12.75"/>
  <cols>
    <col min="1" max="1" width="20.421875" style="4" customWidth="1"/>
    <col min="2" max="2" width="12.140625" style="4" customWidth="1"/>
    <col min="3" max="3" width="10.8515625" style="4" customWidth="1"/>
    <col min="4" max="4" width="12.8515625" style="4" customWidth="1"/>
    <col min="5" max="5" width="13.28125" style="4" bestFit="1" customWidth="1"/>
    <col min="6" max="6" width="11.7109375" style="24" hidden="1" customWidth="1"/>
    <col min="7" max="7" width="11.57421875" style="4" hidden="1" customWidth="1"/>
    <col min="8" max="8" width="11.57421875" style="4" customWidth="1"/>
    <col min="9" max="9" width="11.140625" style="4" customWidth="1"/>
    <col min="10" max="10" width="10.140625" style="4" customWidth="1"/>
    <col min="11" max="11" width="12.140625" style="4" bestFit="1" customWidth="1"/>
    <col min="12" max="12" width="10.140625" style="4" hidden="1" customWidth="1"/>
    <col min="13" max="13" width="12.140625" style="4" hidden="1" customWidth="1"/>
    <col min="14" max="14" width="10.28125" style="4" hidden="1" customWidth="1"/>
    <col min="15" max="15" width="10.8515625" style="4" hidden="1" customWidth="1"/>
    <col min="16" max="16" width="7.8515625" style="32" customWidth="1"/>
    <col min="17" max="17" width="14.421875" style="4" customWidth="1"/>
    <col min="18" max="18" width="13.7109375" style="4" customWidth="1"/>
    <col min="19" max="20" width="11.421875" style="4" customWidth="1"/>
    <col min="21" max="21" width="10.8515625" style="4" customWidth="1"/>
    <col min="22" max="23" width="6.7109375" style="4" bestFit="1" customWidth="1"/>
    <col min="24" max="24" width="8.421875" style="4" bestFit="1" customWidth="1"/>
    <col min="25" max="25" width="12.28125" style="4" bestFit="1" customWidth="1"/>
    <col min="26" max="26" width="10.8515625" style="4" bestFit="1" customWidth="1"/>
    <col min="27" max="27" width="13.8515625" style="4" bestFit="1" customWidth="1"/>
    <col min="28" max="28" width="11.00390625" style="4" customWidth="1"/>
    <col min="29" max="29" width="13.00390625" style="4" bestFit="1" customWidth="1"/>
    <col min="30" max="30" width="12.28125" style="4" bestFit="1" customWidth="1"/>
    <col min="31" max="31" width="13.140625" style="4" bestFit="1" customWidth="1"/>
    <col min="32" max="32" width="12.8515625" style="4" bestFit="1" customWidth="1"/>
    <col min="33" max="33" width="16.57421875" style="4" bestFit="1" customWidth="1"/>
    <col min="34" max="34" width="12.00390625" style="4" customWidth="1"/>
    <col min="35" max="35" width="11.57421875" style="4" bestFit="1" customWidth="1"/>
    <col min="36" max="36" width="13.7109375" style="4" bestFit="1" customWidth="1"/>
    <col min="37" max="37" width="12.28125" style="4" customWidth="1"/>
    <col min="38" max="38" width="12.7109375" style="4" bestFit="1" customWidth="1"/>
    <col min="39" max="39" width="10.8515625" style="4" bestFit="1" customWidth="1"/>
    <col min="40" max="40" width="11.28125" style="4" bestFit="1" customWidth="1"/>
    <col min="41" max="41" width="13.00390625" style="4" bestFit="1" customWidth="1"/>
    <col min="42" max="42" width="14.421875" style="4" bestFit="1" customWidth="1"/>
    <col min="43" max="43" width="12.421875" style="4" bestFit="1" customWidth="1"/>
    <col min="44" max="44" width="11.57421875" style="4" bestFit="1" customWidth="1"/>
    <col min="45" max="45" width="12.00390625" style="4" bestFit="1" customWidth="1"/>
    <col min="46" max="46" width="12.28125" style="4" bestFit="1" customWidth="1"/>
    <col min="47" max="47" width="13.7109375" style="4" customWidth="1"/>
    <col min="48" max="48" width="10.57421875" style="4" bestFit="1" customWidth="1"/>
    <col min="49" max="49" width="10.57421875" style="4" customWidth="1"/>
    <col min="50" max="50" width="12.28125" style="4" customWidth="1"/>
    <col min="51" max="51" width="11.28125" style="4" customWidth="1"/>
    <col min="52" max="52" width="11.57421875" style="4" customWidth="1"/>
    <col min="53" max="53" width="12.00390625" style="4" customWidth="1"/>
    <col min="54" max="54" width="11.57421875" style="4" customWidth="1"/>
    <col min="55" max="56" width="12.140625" style="4" customWidth="1"/>
    <col min="57" max="57" width="10.8515625" style="4" customWidth="1"/>
    <col min="58" max="58" width="11.57421875" style="4" customWidth="1"/>
    <col min="59" max="60" width="13.57421875" style="4" bestFit="1" customWidth="1"/>
    <col min="61" max="61" width="17.28125" style="4" customWidth="1"/>
    <col min="62" max="62" width="13.57421875" style="4" bestFit="1" customWidth="1"/>
    <col min="63" max="63" width="17.28125" style="4" customWidth="1"/>
    <col min="64" max="64" width="11.421875" style="4" customWidth="1"/>
    <col min="65" max="65" width="12.421875" style="4" customWidth="1"/>
    <col min="66" max="73" width="11.421875" style="4" customWidth="1"/>
    <col min="74" max="100" width="0" style="4" hidden="1" customWidth="1"/>
    <col min="101" max="101" width="12.57421875" style="4" hidden="1" customWidth="1"/>
    <col min="102" max="128" width="0" style="4" hidden="1" customWidth="1"/>
    <col min="129" max="130" width="12.7109375" style="4" hidden="1" customWidth="1"/>
    <col min="131" max="134" width="0" style="4" hidden="1" customWidth="1"/>
    <col min="135" max="135" width="12.57421875" style="4" hidden="1" customWidth="1"/>
    <col min="136" max="137" width="0" style="4" hidden="1" customWidth="1"/>
    <col min="138" max="138" width="12.00390625" style="4" hidden="1" customWidth="1"/>
    <col min="139" max="140" width="0" style="4" hidden="1" customWidth="1"/>
    <col min="141" max="141" width="12.7109375" style="4" hidden="1" customWidth="1"/>
    <col min="142" max="143" width="0" style="4" hidden="1" customWidth="1"/>
    <col min="144" max="144" width="12.7109375" style="4" hidden="1" customWidth="1"/>
    <col min="145" max="146" width="0" style="4" hidden="1" customWidth="1"/>
    <col min="147" max="147" width="13.28125" style="4" hidden="1" customWidth="1"/>
    <col min="148" max="152" width="0" style="4" hidden="1" customWidth="1"/>
    <col min="153" max="153" width="13.421875" style="4" hidden="1" customWidth="1"/>
    <col min="154" max="155" width="0" style="4" hidden="1" customWidth="1"/>
    <col min="156" max="156" width="14.7109375" style="4" customWidth="1"/>
    <col min="157" max="157" width="14.00390625" style="4" customWidth="1"/>
    <col min="158" max="158" width="11.421875" style="4" customWidth="1"/>
    <col min="159" max="159" width="13.421875" style="4" customWidth="1"/>
    <col min="160" max="160" width="13.57421875" style="4" bestFit="1" customWidth="1"/>
    <col min="161" max="16384" width="11.421875" style="4" customWidth="1"/>
  </cols>
  <sheetData>
    <row r="1" spans="1:16" ht="13.5" thickBot="1">
      <c r="A1" s="85" t="s">
        <v>257</v>
      </c>
      <c r="B1" s="83"/>
      <c r="C1" s="83"/>
      <c r="D1" s="83"/>
      <c r="E1" s="83"/>
      <c r="F1" s="82"/>
      <c r="G1" s="83"/>
      <c r="H1" s="83"/>
      <c r="I1" s="86"/>
      <c r="J1" s="83"/>
      <c r="K1" s="87"/>
      <c r="L1" s="2"/>
      <c r="M1" s="2"/>
      <c r="N1" s="2"/>
      <c r="O1" s="2"/>
      <c r="P1" s="3"/>
    </row>
    <row r="2" spans="1:17" ht="12.75">
      <c r="A2" s="53" t="s">
        <v>238</v>
      </c>
      <c r="B2" s="6"/>
      <c r="C2" s="6"/>
      <c r="D2" s="6"/>
      <c r="E2" s="6"/>
      <c r="F2" s="22"/>
      <c r="G2" s="6"/>
      <c r="H2" s="6" t="s">
        <v>254</v>
      </c>
      <c r="I2" s="6" t="s">
        <v>239</v>
      </c>
      <c r="J2" s="6" t="s">
        <v>240</v>
      </c>
      <c r="K2" s="67" t="s">
        <v>241</v>
      </c>
      <c r="M2" s="6"/>
      <c r="N2" s="6"/>
      <c r="O2" s="6"/>
      <c r="P2" s="8"/>
      <c r="Q2" s="77"/>
    </row>
    <row r="3" spans="1:16" ht="12.75">
      <c r="A3" s="53" t="s">
        <v>2</v>
      </c>
      <c r="B3" s="6">
        <f>149500*B50</f>
        <v>374602.43106</v>
      </c>
      <c r="C3" s="6">
        <v>11</v>
      </c>
      <c r="D3" s="6">
        <f>C3*B3</f>
        <v>4120626.74166</v>
      </c>
      <c r="E3" s="6"/>
      <c r="F3" s="22"/>
      <c r="G3" s="6"/>
      <c r="H3" s="9">
        <f>'Costos Km'!L77</f>
        <v>1.4565490615115322</v>
      </c>
      <c r="I3" s="6">
        <f>5*1.5*4.33*126</f>
        <v>4091.8500000000004</v>
      </c>
      <c r="J3" s="6">
        <f>H3*I3</f>
        <v>5959.980277345963</v>
      </c>
      <c r="K3" s="67">
        <f>J3*C3</f>
        <v>65559.78305080559</v>
      </c>
      <c r="M3" s="6"/>
      <c r="N3" s="6"/>
      <c r="O3" s="6"/>
      <c r="P3" s="8"/>
    </row>
    <row r="4" spans="1:16" ht="13.5" thickBot="1">
      <c r="A4" s="53" t="s">
        <v>4</v>
      </c>
      <c r="B4" s="6">
        <f>80000*B50</f>
        <v>200456.15039999998</v>
      </c>
      <c r="C4" s="6">
        <v>11</v>
      </c>
      <c r="D4" s="6">
        <f>C4*B4</f>
        <v>2205017.6544</v>
      </c>
      <c r="E4" s="6"/>
      <c r="F4" s="22"/>
      <c r="G4" s="6"/>
      <c r="H4" s="9">
        <f>'Costos Km'!L101</f>
        <v>0.17978747078943746</v>
      </c>
      <c r="I4" s="6">
        <f>I3</f>
        <v>4091.8500000000004</v>
      </c>
      <c r="J4" s="6">
        <f>H4*I4</f>
        <v>735.6633623497597</v>
      </c>
      <c r="K4" s="67">
        <f>J4*C4</f>
        <v>8092.296985847357</v>
      </c>
      <c r="M4" s="6"/>
      <c r="N4" s="6"/>
      <c r="O4" s="6"/>
      <c r="P4" s="8"/>
    </row>
    <row r="5" spans="1:16" ht="12.75" hidden="1">
      <c r="A5" s="53" t="s">
        <v>290</v>
      </c>
      <c r="B5" s="6">
        <f>100000*B50</f>
        <v>250570.18799999997</v>
      </c>
      <c r="C5" s="10">
        <v>0</v>
      </c>
      <c r="D5" s="6">
        <f>C5*B5</f>
        <v>0</v>
      </c>
      <c r="E5" s="6"/>
      <c r="F5" s="22"/>
      <c r="G5" s="6"/>
      <c r="H5" s="9">
        <f>'Costos Km'!L177</f>
        <v>1.432217675100947</v>
      </c>
      <c r="I5" s="6">
        <v>7000</v>
      </c>
      <c r="J5" s="6">
        <f>H5*I5</f>
        <v>10025.52372570663</v>
      </c>
      <c r="K5" s="67">
        <f>J5*C5</f>
        <v>0</v>
      </c>
      <c r="M5" s="6"/>
      <c r="N5" s="6"/>
      <c r="O5" s="6"/>
      <c r="P5" s="8"/>
    </row>
    <row r="6" spans="1:16" ht="13.5" hidden="1" thickBot="1">
      <c r="A6" s="53" t="s">
        <v>287</v>
      </c>
      <c r="B6" s="6">
        <f>60000*B50</f>
        <v>150342.11279999997</v>
      </c>
      <c r="C6" s="11">
        <v>0</v>
      </c>
      <c r="D6" s="6">
        <f>C6*B6</f>
        <v>0</v>
      </c>
      <c r="E6" s="6"/>
      <c r="F6" s="22"/>
      <c r="G6" s="6"/>
      <c r="H6" s="9">
        <f>'Costos Km'!L256</f>
        <v>1.1863336543951357</v>
      </c>
      <c r="I6" s="6">
        <v>7000</v>
      </c>
      <c r="J6" s="6">
        <f>H6*I6</f>
        <v>8304.33558076595</v>
      </c>
      <c r="K6" s="67">
        <f>J6*C6</f>
        <v>0</v>
      </c>
      <c r="M6" s="6"/>
      <c r="N6" s="6"/>
      <c r="O6" s="6"/>
      <c r="P6" s="8"/>
    </row>
    <row r="7" spans="1:16" ht="13.5" thickBot="1">
      <c r="A7" s="81" t="s">
        <v>9</v>
      </c>
      <c r="B7" s="82"/>
      <c r="C7" s="82"/>
      <c r="D7" s="82">
        <f>((C3*B3)+(C4*B4)+(C5*B5)+(C6*B6))</f>
        <v>6325644.396059999</v>
      </c>
      <c r="E7" s="82"/>
      <c r="F7" s="83"/>
      <c r="G7" s="83"/>
      <c r="H7" s="83"/>
      <c r="I7" s="83"/>
      <c r="J7" s="83"/>
      <c r="K7" s="84">
        <f>SUM(K3:K6)</f>
        <v>73652.08003665294</v>
      </c>
      <c r="M7" s="9"/>
      <c r="N7" s="9"/>
      <c r="O7" s="9"/>
      <c r="P7" s="8"/>
    </row>
    <row r="8" spans="5:16" ht="13.5" thickBot="1">
      <c r="E8" s="24"/>
      <c r="F8" s="4"/>
      <c r="I8" s="6"/>
      <c r="M8" s="9"/>
      <c r="N8" s="9"/>
      <c r="O8" s="9"/>
      <c r="P8" s="8"/>
    </row>
    <row r="9" spans="1:16" ht="12.75">
      <c r="A9" s="1" t="s">
        <v>11</v>
      </c>
      <c r="B9" s="88">
        <v>0.07</v>
      </c>
      <c r="C9" s="2"/>
      <c r="D9" s="2"/>
      <c r="E9" s="2"/>
      <c r="F9" s="79"/>
      <c r="G9" s="2"/>
      <c r="H9" s="2"/>
      <c r="I9" s="2" t="s">
        <v>12</v>
      </c>
      <c r="J9" s="2"/>
      <c r="K9" s="71">
        <f>65*B50</f>
        <v>162.87062219999999</v>
      </c>
      <c r="M9" s="9"/>
      <c r="N9" s="9"/>
      <c r="O9" s="9"/>
      <c r="P9" s="8"/>
    </row>
    <row r="10" spans="1:16" ht="12.75">
      <c r="A10" s="5" t="s">
        <v>14</v>
      </c>
      <c r="B10" s="6">
        <v>0</v>
      </c>
      <c r="C10" s="6"/>
      <c r="D10" s="6"/>
      <c r="E10" s="6"/>
      <c r="F10" s="22"/>
      <c r="G10" s="6"/>
      <c r="H10" s="6"/>
      <c r="I10" s="6" t="s">
        <v>43</v>
      </c>
      <c r="J10" s="6"/>
      <c r="K10" s="89">
        <v>1.4</v>
      </c>
      <c r="M10" s="9">
        <v>1.0787965616045845</v>
      </c>
      <c r="N10" s="9" t="s">
        <v>293</v>
      </c>
      <c r="O10" s="9"/>
      <c r="P10" s="8"/>
    </row>
    <row r="11" spans="1:16" ht="12.75">
      <c r="A11" s="5" t="s">
        <v>16</v>
      </c>
      <c r="B11" s="6">
        <v>7</v>
      </c>
      <c r="C11" s="6"/>
      <c r="D11" s="6"/>
      <c r="E11" s="6"/>
      <c r="F11" s="22"/>
      <c r="G11" s="6"/>
      <c r="H11" s="6"/>
      <c r="I11" s="6" t="s">
        <v>7</v>
      </c>
      <c r="J11" s="6"/>
      <c r="K11" s="67">
        <v>21</v>
      </c>
      <c r="M11" s="9">
        <f>1.124+0.02</f>
        <v>1.1440000000000001</v>
      </c>
      <c r="N11" s="9" t="s">
        <v>294</v>
      </c>
      <c r="O11" s="9"/>
      <c r="P11" s="8"/>
    </row>
    <row r="12" spans="1:16" ht="12.75">
      <c r="A12" s="5" t="s">
        <v>18</v>
      </c>
      <c r="B12" s="12">
        <v>0.3</v>
      </c>
      <c r="C12" s="6" t="s">
        <v>295</v>
      </c>
      <c r="D12" s="6" t="s">
        <v>296</v>
      </c>
      <c r="E12" s="9">
        <v>139.7</v>
      </c>
      <c r="F12" s="22"/>
      <c r="G12" s="6"/>
      <c r="H12" s="6"/>
      <c r="I12" s="6" t="s">
        <v>17</v>
      </c>
      <c r="J12" s="6"/>
      <c r="K12" s="191">
        <f>+B51</f>
        <v>4.3</v>
      </c>
      <c r="M12" s="9"/>
      <c r="N12" s="9"/>
      <c r="O12" s="9"/>
      <c r="P12" s="8"/>
    </row>
    <row r="13" spans="1:16" ht="12.75">
      <c r="A13" s="5" t="s">
        <v>255</v>
      </c>
      <c r="B13" s="14">
        <v>0.24</v>
      </c>
      <c r="C13" s="6"/>
      <c r="D13" s="6" t="s">
        <v>297</v>
      </c>
      <c r="E13" s="9">
        <v>169.3</v>
      </c>
      <c r="F13" s="22"/>
      <c r="G13" s="6"/>
      <c r="H13" s="6"/>
      <c r="I13" s="6" t="s">
        <v>13</v>
      </c>
      <c r="J13" s="6"/>
      <c r="K13" s="191">
        <f>((1064)+(65*0.25*22))</f>
        <v>1421.5</v>
      </c>
      <c r="M13" s="9">
        <v>1.22</v>
      </c>
      <c r="N13" s="12" t="s">
        <v>23</v>
      </c>
      <c r="O13" s="12"/>
      <c r="P13" s="8"/>
    </row>
    <row r="14" spans="1:16" ht="13.5" thickBot="1">
      <c r="A14" s="69" t="str">
        <f>A50</f>
        <v>Inflacion-Accum</v>
      </c>
      <c r="B14" s="192">
        <f>+M13*1.23*1.21</f>
        <v>1.815726</v>
      </c>
      <c r="C14" s="29"/>
      <c r="D14" s="29" t="s">
        <v>298</v>
      </c>
      <c r="E14" s="195">
        <f>(E13/E12)-1</f>
        <v>0.2118826055833931</v>
      </c>
      <c r="F14" s="80"/>
      <c r="G14" s="29"/>
      <c r="H14" s="29"/>
      <c r="I14" s="29" t="str">
        <f>A53</f>
        <v>Combustible Bs</v>
      </c>
      <c r="J14" s="29"/>
      <c r="K14" s="90">
        <f>B53</f>
        <v>0.052</v>
      </c>
      <c r="L14" s="6"/>
      <c r="M14" s="6"/>
      <c r="N14" s="12"/>
      <c r="O14" s="12"/>
      <c r="P14" s="8"/>
    </row>
    <row r="15" spans="1:16" ht="13.5" thickBot="1">
      <c r="A15" s="5"/>
      <c r="B15" s="6"/>
      <c r="C15" s="6"/>
      <c r="D15" s="6"/>
      <c r="E15" s="6"/>
      <c r="F15" s="22"/>
      <c r="H15" s="6"/>
      <c r="I15" s="6"/>
      <c r="J15" s="6"/>
      <c r="K15" s="6"/>
      <c r="L15" s="6"/>
      <c r="M15" s="6"/>
      <c r="N15" s="6"/>
      <c r="O15" s="12"/>
      <c r="P15" s="15"/>
    </row>
    <row r="16" spans="1:18" ht="13.5" thickBot="1">
      <c r="A16" s="98" t="s">
        <v>19</v>
      </c>
      <c r="B16" s="115"/>
      <c r="C16" s="120" t="s">
        <v>20</v>
      </c>
      <c r="D16" s="99" t="s">
        <v>21</v>
      </c>
      <c r="E16" s="121" t="s">
        <v>22</v>
      </c>
      <c r="F16" s="99" t="s">
        <v>23</v>
      </c>
      <c r="G16" s="100" t="s">
        <v>24</v>
      </c>
      <c r="H16" s="134" t="s">
        <v>25</v>
      </c>
      <c r="I16" s="101" t="s">
        <v>26</v>
      </c>
      <c r="J16" s="101" t="s">
        <v>27</v>
      </c>
      <c r="K16" s="135" t="s">
        <v>28</v>
      </c>
      <c r="L16" s="148" t="s">
        <v>29</v>
      </c>
      <c r="M16" s="149" t="s">
        <v>30</v>
      </c>
      <c r="N16" s="162" t="s">
        <v>288</v>
      </c>
      <c r="O16" s="163" t="s">
        <v>289</v>
      </c>
      <c r="P16" s="102"/>
      <c r="Q16" s="98" t="s">
        <v>19</v>
      </c>
      <c r="R16" s="103"/>
    </row>
    <row r="17" spans="1:18" ht="12.75">
      <c r="A17" s="110" t="s">
        <v>31</v>
      </c>
      <c r="B17" s="116"/>
      <c r="C17" s="122"/>
      <c r="D17" s="91"/>
      <c r="E17" s="123"/>
      <c r="F17" s="91"/>
      <c r="G17" s="92"/>
      <c r="H17" s="136"/>
      <c r="I17" s="93"/>
      <c r="J17" s="93"/>
      <c r="K17" s="137"/>
      <c r="L17" s="150"/>
      <c r="M17" s="151"/>
      <c r="N17" s="164"/>
      <c r="O17" s="165"/>
      <c r="P17" s="3"/>
      <c r="Q17" s="110" t="s">
        <v>31</v>
      </c>
      <c r="R17" s="94"/>
    </row>
    <row r="18" spans="1:18" ht="12.75">
      <c r="A18" s="17" t="s">
        <v>274</v>
      </c>
      <c r="B18" s="95"/>
      <c r="C18" s="124">
        <f>H18*$C$3+J18*$C$4+L18*$C$5+N18*$C$6</f>
        <v>71220.92179042503</v>
      </c>
      <c r="D18" s="18"/>
      <c r="E18" s="125">
        <f>C18+D18</f>
        <v>71220.92179042503</v>
      </c>
      <c r="F18" s="19">
        <f>C18</f>
        <v>71220.92179042503</v>
      </c>
      <c r="G18" s="6">
        <f>(($C$3*H18)+($C$4*J18)+($C$5*L18)+($C$6*N18))</f>
        <v>71220.92179042503</v>
      </c>
      <c r="H18" s="138">
        <f>'Intereses Inversion Usados'!C90</f>
        <v>4901.048473035007</v>
      </c>
      <c r="I18" s="20"/>
      <c r="J18" s="20">
        <f>'Intereses Inversion Usados'!F90</f>
        <v>1573.5807806399953</v>
      </c>
      <c r="K18" s="139"/>
      <c r="L18" s="152">
        <f>'Intereses Inversion Usados'!I90</f>
        <v>3081.5956954200033</v>
      </c>
      <c r="M18" s="153"/>
      <c r="N18" s="166">
        <f>'Intereses Inversion Usados'!L90</f>
        <v>1966.975975799996</v>
      </c>
      <c r="O18" s="167"/>
      <c r="P18" s="21">
        <f>E18/$F$40</f>
        <v>0.09488300883337733</v>
      </c>
      <c r="Q18" s="17" t="s">
        <v>32</v>
      </c>
      <c r="R18" s="95"/>
    </row>
    <row r="19" spans="1:18" ht="12.75">
      <c r="A19" s="17" t="s">
        <v>33</v>
      </c>
      <c r="B19" s="95"/>
      <c r="C19" s="124">
        <f>((D7)*$B$9)/12</f>
        <v>36899.59231035</v>
      </c>
      <c r="D19" s="18"/>
      <c r="E19" s="125">
        <f aca="true" t="shared" si="0" ref="E19:E40">C19+D19</f>
        <v>36899.59231035</v>
      </c>
      <c r="F19" s="19">
        <f>F18+C19+D19</f>
        <v>108120.51410077504</v>
      </c>
      <c r="G19" s="6">
        <f>(($C$3*H19)+($C$4*J19)+($C$5*L19)+($C$6*N19))</f>
        <v>36899.59231035</v>
      </c>
      <c r="H19" s="138">
        <f>((B3)*$B$9)/12</f>
        <v>2185.18084785</v>
      </c>
      <c r="I19" s="20"/>
      <c r="J19" s="20">
        <f>((B4)*$B$9)/12</f>
        <v>1169.327544</v>
      </c>
      <c r="K19" s="139"/>
      <c r="L19" s="152">
        <f>((B5)*$B$9)/12</f>
        <v>1461.65943</v>
      </c>
      <c r="M19" s="153"/>
      <c r="N19" s="166">
        <f>((B6)*$B$9)/12</f>
        <v>876.9956579999999</v>
      </c>
      <c r="O19" s="167"/>
      <c r="P19" s="21">
        <f>E19/$F$40</f>
        <v>0.04915893048159982</v>
      </c>
      <c r="Q19" s="17" t="s">
        <v>33</v>
      </c>
      <c r="R19" s="95"/>
    </row>
    <row r="20" spans="1:18" ht="12.75">
      <c r="A20" s="17" t="s">
        <v>277</v>
      </c>
      <c r="B20" s="95"/>
      <c r="C20" s="124">
        <f>(H20*C3)+J20*C4+L20*C5+N20*C6</f>
        <v>2200</v>
      </c>
      <c r="D20" s="18"/>
      <c r="E20" s="125">
        <f t="shared" si="0"/>
        <v>2200</v>
      </c>
      <c r="F20" s="19">
        <f aca="true" t="shared" si="1" ref="F20:F34">F19+C20+D20</f>
        <v>110320.51410077504</v>
      </c>
      <c r="G20" s="6">
        <f>(($C$3*H20)+($C$4*J20)+($C$5*L20)+($C$6*N20))</f>
        <v>2200</v>
      </c>
      <c r="H20" s="138">
        <f>8000*B13/12</f>
        <v>160</v>
      </c>
      <c r="I20" s="20"/>
      <c r="J20" s="20">
        <f>2000*B13/12</f>
        <v>40</v>
      </c>
      <c r="K20" s="139"/>
      <c r="L20" s="152">
        <f>6000*B13/12</f>
        <v>120</v>
      </c>
      <c r="M20" s="153"/>
      <c r="N20" s="166">
        <f>5000*B13/12</f>
        <v>100</v>
      </c>
      <c r="O20" s="167"/>
      <c r="P20" s="21">
        <f>E20/$F$40</f>
        <v>0.0029309171263982936</v>
      </c>
      <c r="Q20" s="17" t="s">
        <v>34</v>
      </c>
      <c r="R20" s="95"/>
    </row>
    <row r="21" spans="1:18" ht="12.75">
      <c r="A21" s="17" t="s">
        <v>276</v>
      </c>
      <c r="B21" s="95"/>
      <c r="C21" s="124">
        <f>(D7*0.05)/12</f>
        <v>26356.85165025</v>
      </c>
      <c r="D21" s="18"/>
      <c r="E21" s="125">
        <f t="shared" si="0"/>
        <v>26356.85165025</v>
      </c>
      <c r="F21" s="19">
        <f t="shared" si="1"/>
        <v>136677.36575102503</v>
      </c>
      <c r="G21" s="6">
        <f>(($C$3*H21)+($C$4*J21)+($C$5*L21)+($C$6*N21))</f>
        <v>26356.851650250002</v>
      </c>
      <c r="H21" s="138">
        <f>(B3*0.05)/12</f>
        <v>1560.84346275</v>
      </c>
      <c r="I21" s="20"/>
      <c r="J21" s="20">
        <f>(B4*0.05)/12</f>
        <v>835.23396</v>
      </c>
      <c r="K21" s="139"/>
      <c r="L21" s="152">
        <f>(B5*0.05)/12</f>
        <v>1044.04245</v>
      </c>
      <c r="M21" s="153"/>
      <c r="N21" s="166">
        <f>(B6*0.05)/12</f>
        <v>626.4254699999999</v>
      </c>
      <c r="O21" s="167"/>
      <c r="P21" s="21">
        <f>E21/$F$40</f>
        <v>0.03511352177257129</v>
      </c>
      <c r="Q21" s="17" t="str">
        <f>A21</f>
        <v>Impuestos varios</v>
      </c>
      <c r="R21" s="95"/>
    </row>
    <row r="22" spans="1:18" ht="13.5" thickBot="1">
      <c r="A22" s="26" t="s">
        <v>16</v>
      </c>
      <c r="B22" s="97"/>
      <c r="C22" s="126">
        <f>D7*(1-B12)/$B$11/12</f>
        <v>52713.70330049999</v>
      </c>
      <c r="D22" s="28"/>
      <c r="E22" s="127">
        <f t="shared" si="0"/>
        <v>52713.70330049999</v>
      </c>
      <c r="F22" s="55">
        <f t="shared" si="1"/>
        <v>189391.06905152503</v>
      </c>
      <c r="G22" s="29">
        <f>(($C$3*H22)+($C$4*J22)+($C$5*L22)+($C$6*N22))</f>
        <v>52713.7033005</v>
      </c>
      <c r="H22" s="140">
        <f>B3*(1-B12)/$B$11/12</f>
        <v>3121.6869254999997</v>
      </c>
      <c r="I22" s="111"/>
      <c r="J22" s="111">
        <f>B4*(1-B12)/$B$11/12</f>
        <v>1670.4679199999998</v>
      </c>
      <c r="K22" s="141"/>
      <c r="L22" s="154">
        <f>B5*(1-B12)/$B$11/12</f>
        <v>2088.0848999999994</v>
      </c>
      <c r="M22" s="155"/>
      <c r="N22" s="168">
        <f>B6*(1-B12)/$B$11/12</f>
        <v>1252.8509399999998</v>
      </c>
      <c r="O22" s="169"/>
      <c r="P22" s="113">
        <f>E22/$F$40</f>
        <v>0.07022704354514259</v>
      </c>
      <c r="Q22" s="26" t="s">
        <v>16</v>
      </c>
      <c r="R22" s="97"/>
    </row>
    <row r="23" spans="1:18" ht="12.75">
      <c r="A23" s="110" t="s">
        <v>35</v>
      </c>
      <c r="B23" s="94"/>
      <c r="C23" s="128"/>
      <c r="D23" s="107"/>
      <c r="E23" s="129"/>
      <c r="F23" s="108">
        <f t="shared" si="1"/>
        <v>189391.06905152503</v>
      </c>
      <c r="G23" s="2"/>
      <c r="H23" s="142"/>
      <c r="I23" s="109"/>
      <c r="J23" s="109"/>
      <c r="K23" s="143"/>
      <c r="L23" s="156"/>
      <c r="M23" s="157"/>
      <c r="N23" s="170"/>
      <c r="O23" s="171"/>
      <c r="P23" s="114"/>
      <c r="Q23" s="110" t="s">
        <v>35</v>
      </c>
      <c r="R23" s="94"/>
    </row>
    <row r="24" spans="1:18" ht="12.75">
      <c r="A24" s="17" t="s">
        <v>36</v>
      </c>
      <c r="B24" s="95"/>
      <c r="C24" s="124"/>
      <c r="D24" s="18">
        <f>(C3+C5+C6)*104*B50</f>
        <v>2866.5229507199997</v>
      </c>
      <c r="E24" s="125">
        <f t="shared" si="0"/>
        <v>2866.5229507199997</v>
      </c>
      <c r="F24" s="19">
        <f t="shared" si="1"/>
        <v>192257.59200224504</v>
      </c>
      <c r="G24" s="6">
        <f>(($C$3*I24)+($C$4*J24)+($C$5*M24)+($C$6*O24))</f>
        <v>2866.5229507199997</v>
      </c>
      <c r="H24" s="138"/>
      <c r="I24" s="20">
        <f>104*B50</f>
        <v>260.59299552</v>
      </c>
      <c r="J24" s="20"/>
      <c r="K24" s="139"/>
      <c r="L24" s="152"/>
      <c r="M24" s="153">
        <f>I24</f>
        <v>260.59299552</v>
      </c>
      <c r="N24" s="166"/>
      <c r="O24" s="167">
        <f>M24</f>
        <v>260.59299552</v>
      </c>
      <c r="P24" s="21">
        <f aca="true" t="shared" si="2" ref="P24:P30">E24/$F$40</f>
        <v>0.0038188823679450087</v>
      </c>
      <c r="Q24" s="17" t="s">
        <v>36</v>
      </c>
      <c r="R24" s="95"/>
    </row>
    <row r="25" spans="1:18" ht="12.75">
      <c r="A25" s="17" t="s">
        <v>37</v>
      </c>
      <c r="B25" s="95"/>
      <c r="C25" s="124"/>
      <c r="D25" s="18">
        <f>(((C3*I3))*H3)+((C4*I4)*H4)+((C5*H5)*I5)+((C6*H6)*I6)</f>
        <v>73652.08003665296</v>
      </c>
      <c r="E25" s="125">
        <f t="shared" si="0"/>
        <v>73652.08003665296</v>
      </c>
      <c r="F25" s="19">
        <f t="shared" si="1"/>
        <v>265909.672038898</v>
      </c>
      <c r="G25" s="6">
        <f>(($C$3*I25)+($C$4*K25)+($C$5*M25)+($C$6*O25))</f>
        <v>73652.08003665294</v>
      </c>
      <c r="H25" s="138"/>
      <c r="I25" s="20">
        <f>I3*H3</f>
        <v>5959.980277345963</v>
      </c>
      <c r="J25" s="20"/>
      <c r="K25" s="139">
        <f>I4*H4</f>
        <v>735.6633623497597</v>
      </c>
      <c r="L25" s="152"/>
      <c r="M25" s="153">
        <f>I5*H5</f>
        <v>10025.52372570663</v>
      </c>
      <c r="N25" s="166"/>
      <c r="O25" s="167">
        <f>I6*H6</f>
        <v>8304.33558076595</v>
      </c>
      <c r="P25" s="21">
        <f t="shared" si="2"/>
        <v>0.09812188307922001</v>
      </c>
      <c r="Q25" s="17" t="s">
        <v>37</v>
      </c>
      <c r="R25" s="95"/>
    </row>
    <row r="26" spans="1:18" ht="12.75">
      <c r="A26" s="17" t="s">
        <v>38</v>
      </c>
      <c r="B26" s="95"/>
      <c r="C26" s="124"/>
      <c r="D26" s="18">
        <f>($B$53*($C$3)*$I$3/2)+($B$53*($C$5)*$I$5/2.5)+($B$53*($C$6)*$I$5/3)</f>
        <v>1170.2691</v>
      </c>
      <c r="E26" s="125">
        <f t="shared" si="0"/>
        <v>1170.2691</v>
      </c>
      <c r="F26" s="19">
        <f t="shared" si="1"/>
        <v>267079.94113889796</v>
      </c>
      <c r="G26" s="6">
        <f>(($C$3*I26)+($C$4*J26)+($C$5*M26)+($C$6*O26))</f>
        <v>1170.2691</v>
      </c>
      <c r="H26" s="138"/>
      <c r="I26" s="20">
        <f>+($B$53*$I$3/2)</f>
        <v>106.38810000000001</v>
      </c>
      <c r="J26" s="20"/>
      <c r="K26" s="139"/>
      <c r="L26" s="152"/>
      <c r="M26" s="153">
        <f>+($B$53*$I$5/2.5)</f>
        <v>145.6</v>
      </c>
      <c r="N26" s="166"/>
      <c r="O26" s="167">
        <f>+($B$53*$I$5/3)</f>
        <v>121.33333333333333</v>
      </c>
      <c r="P26" s="21">
        <f t="shared" si="2"/>
        <v>0.0015590735216748715</v>
      </c>
      <c r="Q26" s="17" t="s">
        <v>38</v>
      </c>
      <c r="R26" s="95"/>
    </row>
    <row r="27" spans="1:18" ht="12.75">
      <c r="A27" s="17" t="s">
        <v>39</v>
      </c>
      <c r="B27" s="95"/>
      <c r="C27" s="124"/>
      <c r="D27" s="18">
        <f>(C3*I27+C5*M27+C6*O27)</f>
        <v>37044.29659391999</v>
      </c>
      <c r="E27" s="125">
        <f>(C27+D27)</f>
        <v>37044.29659391999</v>
      </c>
      <c r="F27" s="19">
        <f t="shared" si="1"/>
        <v>304124.23773281794</v>
      </c>
      <c r="G27" s="6">
        <f>(($C$3*I27)+($C$4*J27)+($C$5*M27)+($C$6*O27))</f>
        <v>37044.29659391999</v>
      </c>
      <c r="H27" s="138"/>
      <c r="I27" s="20">
        <f>(30+26+8)*$K$11*B50</f>
        <v>3367.6633267199995</v>
      </c>
      <c r="J27" s="20"/>
      <c r="K27" s="139"/>
      <c r="L27" s="152"/>
      <c r="M27" s="153">
        <f>(30+15+6)*$K$11*$B$50</f>
        <v>2683.6067134799996</v>
      </c>
      <c r="N27" s="166"/>
      <c r="O27" s="167">
        <f>(30+11+6)*$K$11*$B$50</f>
        <v>2473.1277555599995</v>
      </c>
      <c r="P27" s="21">
        <f t="shared" si="2"/>
        <v>0.049351710601135496</v>
      </c>
      <c r="Q27" s="17" t="s">
        <v>39</v>
      </c>
      <c r="R27" s="95"/>
    </row>
    <row r="28" spans="1:18" ht="12.75">
      <c r="A28" s="17" t="s">
        <v>40</v>
      </c>
      <c r="B28" s="95"/>
      <c r="C28" s="124"/>
      <c r="D28" s="18">
        <f>I28*C3+M28*C5+O28*C6</f>
        <v>62546</v>
      </c>
      <c r="E28" s="125">
        <f>(C28+D28)</f>
        <v>62546</v>
      </c>
      <c r="F28" s="19">
        <f t="shared" si="1"/>
        <v>366670.23773281794</v>
      </c>
      <c r="G28" s="6">
        <f>(($C$3*(H28+I28))+($C$4*(J28+K28))+($C$5*(L28+M28))+($C$6*(N28+O28)))</f>
        <v>62546</v>
      </c>
      <c r="H28" s="138"/>
      <c r="I28" s="20">
        <f>4*K13</f>
        <v>5686</v>
      </c>
      <c r="J28" s="20"/>
      <c r="K28" s="139"/>
      <c r="L28" s="152"/>
      <c r="M28" s="153">
        <f>3.25*K13</f>
        <v>4619.875</v>
      </c>
      <c r="N28" s="166"/>
      <c r="O28" s="167">
        <f>2.5*K13</f>
        <v>3553.75</v>
      </c>
      <c r="P28" s="21">
        <f t="shared" si="2"/>
        <v>0.08332597390350349</v>
      </c>
      <c r="Q28" s="17" t="s">
        <v>40</v>
      </c>
      <c r="R28" s="95"/>
    </row>
    <row r="29" spans="1:18" ht="12.75">
      <c r="A29" s="17" t="s">
        <v>243</v>
      </c>
      <c r="B29" s="95"/>
      <c r="C29" s="124">
        <f>H29*$C$3+J29*$C$4+L29*$C$5+N29*$C$6</f>
        <v>9341.285714285714</v>
      </c>
      <c r="D29" s="18">
        <f>I29*$C$3+K29*$C$4+M29*$C$5+O29*$C$6</f>
        <v>0</v>
      </c>
      <c r="E29" s="125">
        <f>(C29+D29)</f>
        <v>9341.285714285714</v>
      </c>
      <c r="F29" s="19">
        <f t="shared" si="1"/>
        <v>376011.5234471037</v>
      </c>
      <c r="G29" s="6">
        <f>(($C$3*(H29+I29))+($C$4*(J29+K29))+($C$5*(L29+M29))+($C$6*(N29+O29)))</f>
        <v>9341.285714285714</v>
      </c>
      <c r="H29" s="138">
        <f>((85000)/192500)*$K$13</f>
        <v>627.6753246753246</v>
      </c>
      <c r="I29" s="20">
        <v>0</v>
      </c>
      <c r="J29" s="20">
        <f>((30000)/192500)*$K$13</f>
        <v>221.53246753246754</v>
      </c>
      <c r="K29" s="139">
        <v>0</v>
      </c>
      <c r="L29" s="152">
        <f>((50000)/192500)*$K$13</f>
        <v>369.2207792207792</v>
      </c>
      <c r="M29" s="153">
        <v>0</v>
      </c>
      <c r="N29" s="166">
        <f>((30000)/192500)*$K$13</f>
        <v>221.53246753246754</v>
      </c>
      <c r="O29" s="167">
        <v>0</v>
      </c>
      <c r="P29" s="21">
        <f t="shared" si="2"/>
        <v>0.012444788310263508</v>
      </c>
      <c r="Q29" s="17" t="s">
        <v>243</v>
      </c>
      <c r="R29" s="95"/>
    </row>
    <row r="30" spans="1:18" ht="13.5" thickBot="1">
      <c r="A30" s="26" t="s">
        <v>242</v>
      </c>
      <c r="B30" s="97"/>
      <c r="C30" s="126">
        <f>SUM(C28:C29)*$K$10</f>
        <v>13077.8</v>
      </c>
      <c r="D30" s="28">
        <f>SUM(D28:D29)*$K$10</f>
        <v>87564.4</v>
      </c>
      <c r="E30" s="127">
        <f>(C30+D30)</f>
        <v>100642.2</v>
      </c>
      <c r="F30" s="55">
        <f t="shared" si="1"/>
        <v>476653.72344710364</v>
      </c>
      <c r="G30" s="29">
        <f>(($C$3*(H30+I30))+($C$4*(J30+K30))+($C$5*(L30+M30))+($C$6*(N30+O30)))</f>
        <v>100642.20000000001</v>
      </c>
      <c r="H30" s="140">
        <f aca="true" t="shared" si="3" ref="H30:O30">(H28+H29)*$K$10</f>
        <v>878.7454545454544</v>
      </c>
      <c r="I30" s="111">
        <f t="shared" si="3"/>
        <v>7960.4</v>
      </c>
      <c r="J30" s="111">
        <f t="shared" si="3"/>
        <v>310.1454545454545</v>
      </c>
      <c r="K30" s="141">
        <f t="shared" si="3"/>
        <v>0</v>
      </c>
      <c r="L30" s="154">
        <f t="shared" si="3"/>
        <v>516.9090909090909</v>
      </c>
      <c r="M30" s="155">
        <f t="shared" si="3"/>
        <v>6467.825</v>
      </c>
      <c r="N30" s="168">
        <f t="shared" si="3"/>
        <v>310.1454545454545</v>
      </c>
      <c r="O30" s="169">
        <f t="shared" si="3"/>
        <v>4975.25</v>
      </c>
      <c r="P30" s="113">
        <f t="shared" si="2"/>
        <v>0.1340790670992738</v>
      </c>
      <c r="Q30" s="26" t="s">
        <v>242</v>
      </c>
      <c r="R30" s="97"/>
    </row>
    <row r="31" spans="1:18" ht="12.75">
      <c r="A31" s="110" t="s">
        <v>41</v>
      </c>
      <c r="B31" s="94"/>
      <c r="C31" s="128"/>
      <c r="D31" s="107"/>
      <c r="E31" s="129"/>
      <c r="F31" s="108"/>
      <c r="G31" s="2"/>
      <c r="H31" s="142"/>
      <c r="I31" s="109"/>
      <c r="J31" s="109"/>
      <c r="K31" s="143"/>
      <c r="L31" s="156"/>
      <c r="M31" s="157"/>
      <c r="N31" s="170"/>
      <c r="O31" s="171"/>
      <c r="P31" s="114"/>
      <c r="Q31" s="110" t="s">
        <v>41</v>
      </c>
      <c r="R31" s="94"/>
    </row>
    <row r="32" spans="1:18" ht="12.75">
      <c r="A32" s="17" t="s">
        <v>42</v>
      </c>
      <c r="B32" s="95"/>
      <c r="C32" s="124">
        <f>(H32*$C$3+J32*$C$4+L32*$C$5+N32*$C$6)</f>
        <v>45488</v>
      </c>
      <c r="D32" s="18"/>
      <c r="E32" s="125">
        <f t="shared" si="0"/>
        <v>45488</v>
      </c>
      <c r="F32" s="19">
        <f>F30+C32+D32</f>
        <v>522141.72344710364</v>
      </c>
      <c r="G32" s="6">
        <f>(($C$3*(H32+I32))+($C$4*(J32+K32))+($C$5*(L32+M32))+($C$6*(N32+O32)))</f>
        <v>45488</v>
      </c>
      <c r="H32" s="138">
        <f>((140000+200000+70000+0)/192500)*$K$13</f>
        <v>3027.6103896103896</v>
      </c>
      <c r="I32" s="20"/>
      <c r="J32" s="20">
        <f>((50000+75000+25000+0)/192500)*$K$13</f>
        <v>1107.6623376623377</v>
      </c>
      <c r="K32" s="139"/>
      <c r="L32" s="152">
        <f>((80000+120000+40000+0)/192500)*$K$13</f>
        <v>1772.2597402597403</v>
      </c>
      <c r="M32" s="153"/>
      <c r="N32" s="166">
        <f>((50000+75000+25000+0)/192500)*$K$13</f>
        <v>1107.6623376623377</v>
      </c>
      <c r="O32" s="167"/>
      <c r="P32" s="21">
        <f>G32/$F$40</f>
        <v>0.06060070829345708</v>
      </c>
      <c r="Q32" s="17" t="s">
        <v>42</v>
      </c>
      <c r="R32" s="95"/>
    </row>
    <row r="33" spans="1:18" ht="12.75">
      <c r="A33" s="17" t="s">
        <v>43</v>
      </c>
      <c r="B33" s="95"/>
      <c r="C33" s="124">
        <f>C32*K10</f>
        <v>63683.2</v>
      </c>
      <c r="D33" s="18">
        <f>(D32)*K10</f>
        <v>0</v>
      </c>
      <c r="E33" s="125">
        <f t="shared" si="0"/>
        <v>63683.2</v>
      </c>
      <c r="F33" s="19">
        <f>F32+C33+D33</f>
        <v>585824.9234471036</v>
      </c>
      <c r="G33" s="6">
        <f>(($C$3*(H33+I33))+($C$4*(J33+K33))+($C$5*(L33+M33))+($C$6*(N33+O33)))</f>
        <v>63683.2</v>
      </c>
      <c r="H33" s="138">
        <f aca="true" t="shared" si="4" ref="H33:O33">(H32)*$K$10</f>
        <v>4238.654545454545</v>
      </c>
      <c r="I33" s="20">
        <f t="shared" si="4"/>
        <v>0</v>
      </c>
      <c r="J33" s="20">
        <f t="shared" si="4"/>
        <v>1550.7272727272727</v>
      </c>
      <c r="K33" s="139">
        <f t="shared" si="4"/>
        <v>0</v>
      </c>
      <c r="L33" s="152">
        <f t="shared" si="4"/>
        <v>2481.163636363636</v>
      </c>
      <c r="M33" s="153">
        <f t="shared" si="4"/>
        <v>0</v>
      </c>
      <c r="N33" s="166">
        <f t="shared" si="4"/>
        <v>1550.7272727272727</v>
      </c>
      <c r="O33" s="167">
        <f t="shared" si="4"/>
        <v>0</v>
      </c>
      <c r="P33" s="21">
        <f>E33/$F$40</f>
        <v>0.08484099161083991</v>
      </c>
      <c r="Q33" s="17" t="s">
        <v>43</v>
      </c>
      <c r="R33" s="95"/>
    </row>
    <row r="34" spans="1:18" ht="12.75">
      <c r="A34" s="17" t="s">
        <v>44</v>
      </c>
      <c r="B34" s="95"/>
      <c r="C34" s="124">
        <f>(H34*$C$3+J34*$C$4+L34*$C$5+N34*$C$6)</f>
        <v>39690.31777919999</v>
      </c>
      <c r="D34" s="18"/>
      <c r="E34" s="125">
        <f t="shared" si="0"/>
        <v>39690.31777919999</v>
      </c>
      <c r="F34" s="19">
        <f t="shared" si="1"/>
        <v>625515.2412263036</v>
      </c>
      <c r="G34" s="6">
        <f>(($C$3*H34)+($C$4*J34)+($C$5*L34)+($C$6*N34))</f>
        <v>39690.31777919999</v>
      </c>
      <c r="H34" s="138">
        <f>1280*B50</f>
        <v>3207.2984063999997</v>
      </c>
      <c r="I34" s="20">
        <v>0</v>
      </c>
      <c r="J34" s="20">
        <f>160*B50</f>
        <v>400.91230079999997</v>
      </c>
      <c r="K34" s="139">
        <v>0</v>
      </c>
      <c r="L34" s="152">
        <f>960*B50</f>
        <v>2405.4738048</v>
      </c>
      <c r="M34" s="153">
        <v>0</v>
      </c>
      <c r="N34" s="166">
        <f>800*B50</f>
        <v>2004.5615039999998</v>
      </c>
      <c r="O34" s="167"/>
      <c r="P34" s="21">
        <f>E34/$F$40</f>
        <v>0.05287683278693089</v>
      </c>
      <c r="Q34" s="17" t="s">
        <v>44</v>
      </c>
      <c r="R34" s="95"/>
    </row>
    <row r="35" spans="1:18" ht="13.5" thickBot="1">
      <c r="A35" s="26"/>
      <c r="B35" s="97"/>
      <c r="C35" s="126"/>
      <c r="D35" s="28"/>
      <c r="E35" s="127"/>
      <c r="F35" s="55"/>
      <c r="G35" s="29"/>
      <c r="H35" s="140"/>
      <c r="I35" s="111"/>
      <c r="J35" s="111"/>
      <c r="K35" s="141"/>
      <c r="L35" s="154"/>
      <c r="M35" s="155"/>
      <c r="N35" s="168"/>
      <c r="O35" s="169"/>
      <c r="P35" s="113"/>
      <c r="Q35" s="26"/>
      <c r="R35" s="97"/>
    </row>
    <row r="36" spans="1:24" s="24" customFormat="1" ht="12.75">
      <c r="A36" s="16" t="s">
        <v>45</v>
      </c>
      <c r="B36" s="96"/>
      <c r="C36" s="130">
        <f>SUM(C18:C32)+C33+C34</f>
        <v>360671.6725450107</v>
      </c>
      <c r="D36" s="19">
        <f>SUM(D18:D34)</f>
        <v>264843.56868129293</v>
      </c>
      <c r="E36" s="125">
        <f t="shared" si="0"/>
        <v>625515.2412263036</v>
      </c>
      <c r="F36" s="19">
        <f>C36+D36</f>
        <v>625515.2412263036</v>
      </c>
      <c r="G36" s="22">
        <f>(($C$3*(H36+I36))+($C$4*(J36+K36))+($C$5*(L36+M36))+($C$6*(N36+O36)))</f>
        <v>625515.2412263037</v>
      </c>
      <c r="H36" s="144">
        <f aca="true" t="shared" si="5" ref="H36:O36">SUM(H18:H32)+H33+H34</f>
        <v>23908.743829820723</v>
      </c>
      <c r="I36" s="23">
        <f t="shared" si="5"/>
        <v>23341.024699585963</v>
      </c>
      <c r="J36" s="23">
        <f t="shared" si="5"/>
        <v>8879.590037907526</v>
      </c>
      <c r="K36" s="145">
        <f t="shared" si="5"/>
        <v>735.6633623497597</v>
      </c>
      <c r="L36" s="158">
        <f t="shared" si="5"/>
        <v>15340.40952697325</v>
      </c>
      <c r="M36" s="159">
        <f t="shared" si="5"/>
        <v>24203.023434706633</v>
      </c>
      <c r="N36" s="172">
        <f t="shared" si="5"/>
        <v>10017.877080267526</v>
      </c>
      <c r="O36" s="173">
        <f t="shared" si="5"/>
        <v>19688.389665179282</v>
      </c>
      <c r="P36" s="21"/>
      <c r="Q36" s="16" t="s">
        <v>45</v>
      </c>
      <c r="R36" s="96"/>
      <c r="T36" s="4"/>
      <c r="W36" s="4"/>
      <c r="X36" s="4"/>
    </row>
    <row r="37" spans="1:18" ht="12.75">
      <c r="A37" s="17"/>
      <c r="B37" s="95"/>
      <c r="C37" s="124"/>
      <c r="D37" s="18"/>
      <c r="E37" s="125"/>
      <c r="F37" s="19"/>
      <c r="G37" s="6"/>
      <c r="H37" s="138"/>
      <c r="I37" s="20"/>
      <c r="J37" s="20"/>
      <c r="K37" s="139"/>
      <c r="L37" s="152"/>
      <c r="M37" s="153"/>
      <c r="N37" s="166"/>
      <c r="O37" s="167"/>
      <c r="P37" s="21"/>
      <c r="Q37" s="17"/>
      <c r="R37" s="95"/>
    </row>
    <row r="38" spans="1:18" ht="12.75">
      <c r="A38" s="17" t="s">
        <v>46</v>
      </c>
      <c r="B38" s="117">
        <v>0.2</v>
      </c>
      <c r="C38" s="124">
        <f>C36*($B$38)</f>
        <v>72134.33450900215</v>
      </c>
      <c r="D38" s="18">
        <f>D36*($B$38)</f>
        <v>52968.71373625859</v>
      </c>
      <c r="E38" s="125">
        <f t="shared" si="0"/>
        <v>125103.04824526074</v>
      </c>
      <c r="F38" s="19">
        <f>F36*($B$38)</f>
        <v>125103.04824526072</v>
      </c>
      <c r="G38" s="6">
        <f>(($C$3*(H38+I38))+($C$4*(J38+K38))+($C$5*(L38+M38))+($C$6*(N38+O38)))</f>
        <v>125103.04824526072</v>
      </c>
      <c r="H38" s="138">
        <f aca="true" t="shared" si="6" ref="H38:O38">H36*($B$38)</f>
        <v>4781.748765964145</v>
      </c>
      <c r="I38" s="20">
        <f t="shared" si="6"/>
        <v>4668.204939917193</v>
      </c>
      <c r="J38" s="20">
        <f t="shared" si="6"/>
        <v>1775.9180075815054</v>
      </c>
      <c r="K38" s="139">
        <f t="shared" si="6"/>
        <v>147.13267246995196</v>
      </c>
      <c r="L38" s="152">
        <f t="shared" si="6"/>
        <v>3068.08190539465</v>
      </c>
      <c r="M38" s="153">
        <f t="shared" si="6"/>
        <v>4840.604686941327</v>
      </c>
      <c r="N38" s="166">
        <f t="shared" si="6"/>
        <v>2003.5754160535053</v>
      </c>
      <c r="O38" s="167">
        <f t="shared" si="6"/>
        <v>3937.6779330358568</v>
      </c>
      <c r="P38" s="21">
        <f>F38/$F$40</f>
        <v>0.16666666666666666</v>
      </c>
      <c r="Q38" s="17" t="s">
        <v>46</v>
      </c>
      <c r="R38" s="95"/>
    </row>
    <row r="39" spans="1:18" ht="12.75">
      <c r="A39" s="17"/>
      <c r="B39" s="95"/>
      <c r="C39" s="131">
        <f>C40/F40</f>
        <v>0.5765993356739395</v>
      </c>
      <c r="D39" s="25">
        <f>D40/F40</f>
        <v>0.42340066432606044</v>
      </c>
      <c r="E39" s="125"/>
      <c r="F39" s="19"/>
      <c r="G39" s="6"/>
      <c r="H39" s="138"/>
      <c r="I39" s="20"/>
      <c r="J39" s="20"/>
      <c r="K39" s="139"/>
      <c r="L39" s="152"/>
      <c r="M39" s="153"/>
      <c r="N39" s="166"/>
      <c r="O39" s="167"/>
      <c r="P39" s="21"/>
      <c r="Q39" s="17"/>
      <c r="R39" s="95"/>
    </row>
    <row r="40" spans="1:24" s="24" customFormat="1" ht="13.5" thickBot="1">
      <c r="A40" s="118" t="s">
        <v>47</v>
      </c>
      <c r="B40" s="119"/>
      <c r="C40" s="132">
        <f>C36+C38</f>
        <v>432806.00705401285</v>
      </c>
      <c r="D40" s="55">
        <f>D36+D38</f>
        <v>317812.2824175515</v>
      </c>
      <c r="E40" s="133">
        <f t="shared" si="0"/>
        <v>750618.2894715643</v>
      </c>
      <c r="F40" s="19">
        <f>F36+F38</f>
        <v>750618.2894715643</v>
      </c>
      <c r="G40" s="22">
        <f>(($C$3*(H40+I40))+($C$4*(J40+K40))+($C$5*(L40+M40))+($C$6*(N40+O40)))</f>
        <v>750618.2894715643</v>
      </c>
      <c r="H40" s="144">
        <f>H36+H38</f>
        <v>28690.492595784868</v>
      </c>
      <c r="I40" s="23">
        <f aca="true" t="shared" si="7" ref="I40:O40">I36+I38</f>
        <v>28009.229639503155</v>
      </c>
      <c r="J40" s="23">
        <f t="shared" si="7"/>
        <v>10655.508045489032</v>
      </c>
      <c r="K40" s="145">
        <f t="shared" si="7"/>
        <v>882.7960348197116</v>
      </c>
      <c r="L40" s="158">
        <f t="shared" si="7"/>
        <v>18408.4914323679</v>
      </c>
      <c r="M40" s="159">
        <f t="shared" si="7"/>
        <v>29043.62812164796</v>
      </c>
      <c r="N40" s="172">
        <f t="shared" si="7"/>
        <v>12021.452496321032</v>
      </c>
      <c r="O40" s="173">
        <f t="shared" si="7"/>
        <v>23626.067598215137</v>
      </c>
      <c r="P40" s="21">
        <f>SUM(P18:P32)+P33+P34+P38</f>
        <v>1</v>
      </c>
      <c r="Q40" s="16" t="s">
        <v>47</v>
      </c>
      <c r="R40" s="96"/>
      <c r="T40" s="4"/>
      <c r="W40" s="4"/>
      <c r="X40" s="4"/>
    </row>
    <row r="41" spans="1:18" ht="12.75">
      <c r="A41" s="104"/>
      <c r="B41" s="105"/>
      <c r="C41" s="106"/>
      <c r="D41" s="106"/>
      <c r="E41" s="107"/>
      <c r="F41" s="108"/>
      <c r="G41" s="2"/>
      <c r="H41" s="142" t="s">
        <v>48</v>
      </c>
      <c r="I41" s="109" t="s">
        <v>49</v>
      </c>
      <c r="J41" s="109" t="s">
        <v>48</v>
      </c>
      <c r="K41" s="143" t="s">
        <v>49</v>
      </c>
      <c r="L41" s="156" t="s">
        <v>48</v>
      </c>
      <c r="M41" s="157" t="s">
        <v>49</v>
      </c>
      <c r="N41" s="170" t="s">
        <v>48</v>
      </c>
      <c r="O41" s="171" t="s">
        <v>49</v>
      </c>
      <c r="P41" s="3"/>
      <c r="Q41" s="104"/>
      <c r="R41" s="94"/>
    </row>
    <row r="42" spans="1:18" ht="13.5" thickBot="1">
      <c r="A42" s="26"/>
      <c r="B42" s="27"/>
      <c r="C42" s="28"/>
      <c r="D42" s="28"/>
      <c r="E42" s="28"/>
      <c r="F42" s="55"/>
      <c r="G42" s="29"/>
      <c r="H42" s="146">
        <f>H40/K11</f>
        <v>1366.2139331326127</v>
      </c>
      <c r="I42" s="30">
        <f>I40/I3</f>
        <v>6.845126199519326</v>
      </c>
      <c r="J42" s="30">
        <f>J40/K11</f>
        <v>507.4051450232872</v>
      </c>
      <c r="K42" s="147">
        <f>K40/I4</f>
        <v>0.21574496494732492</v>
      </c>
      <c r="L42" s="160">
        <f>L40/K11</f>
        <v>876.5948301127571</v>
      </c>
      <c r="M42" s="161">
        <f>M40/I5</f>
        <v>4.149089731663994</v>
      </c>
      <c r="N42" s="174">
        <f>N40/K11</f>
        <v>572.45011887243</v>
      </c>
      <c r="O42" s="175">
        <f>O40/I6</f>
        <v>3.375152514030734</v>
      </c>
      <c r="P42" s="31"/>
      <c r="Q42" s="26"/>
      <c r="R42" s="97"/>
    </row>
    <row r="43" spans="1:22" ht="13.5" thickBot="1">
      <c r="A43" s="33"/>
      <c r="B43" s="33"/>
      <c r="C43" s="33"/>
      <c r="D43" s="33"/>
      <c r="E43" s="33"/>
      <c r="F43" s="56"/>
      <c r="G43" s="33"/>
      <c r="H43" s="33"/>
      <c r="I43" s="33"/>
      <c r="J43" s="33"/>
      <c r="K43" s="33"/>
      <c r="L43" s="33"/>
      <c r="M43" s="33"/>
      <c r="N43" s="33"/>
      <c r="O43" s="33"/>
      <c r="Q43" s="33"/>
      <c r="R43" s="33"/>
      <c r="S43" s="33"/>
      <c r="U43" s="33"/>
      <c r="V43" s="33"/>
    </row>
    <row r="44" spans="1:22" ht="13.5" thickBot="1">
      <c r="A44" s="186"/>
      <c r="B44" s="187" t="s">
        <v>0</v>
      </c>
      <c r="C44" s="188"/>
      <c r="D44" s="188"/>
      <c r="E44" s="188"/>
      <c r="F44" s="187"/>
      <c r="G44" s="188"/>
      <c r="H44" s="187" t="s">
        <v>1</v>
      </c>
      <c r="I44" s="187"/>
      <c r="J44" s="189"/>
      <c r="K44" s="33"/>
      <c r="L44" s="33"/>
      <c r="M44" s="33"/>
      <c r="N44" s="33"/>
      <c r="O44" s="33"/>
      <c r="Q44" s="33"/>
      <c r="R44" s="33"/>
      <c r="S44" s="33"/>
      <c r="U44" s="33"/>
      <c r="V44" s="33"/>
    </row>
    <row r="45" spans="1:22" ht="13.5" thickBot="1">
      <c r="A45" s="186" t="s">
        <v>3</v>
      </c>
      <c r="B45" s="197">
        <f>($H$40+$J$40)/K11</f>
        <v>1873.6190781559</v>
      </c>
      <c r="C45" s="188"/>
      <c r="D45" s="188"/>
      <c r="E45" s="188"/>
      <c r="F45" s="187"/>
      <c r="G45" s="188"/>
      <c r="H45" s="197">
        <f>I42+K42</f>
        <v>7.060871164466651</v>
      </c>
      <c r="I45" s="197"/>
      <c r="J45" s="199">
        <f>(B45*K11/I3)+H45</f>
        <v>16.676570821412504</v>
      </c>
      <c r="K45" s="34">
        <f>B45*K11+I3*H45</f>
        <v>68238.02631559677</v>
      </c>
      <c r="L45" s="34">
        <f>K45/21</f>
        <v>3249.4298245522273</v>
      </c>
      <c r="M45" s="77">
        <f>(K45/37876885)-1</f>
        <v>-0.9981984256013767</v>
      </c>
      <c r="O45" s="34">
        <f>B45*21</f>
        <v>39346.0006412739</v>
      </c>
      <c r="Q45" s="21">
        <f>(+J45/4795)-1</f>
        <v>-0.9965220915909463</v>
      </c>
      <c r="R45" s="33"/>
      <c r="S45" s="33"/>
      <c r="U45" s="33"/>
      <c r="V45" s="33"/>
    </row>
    <row r="46" spans="1:22" ht="13.5" hidden="1" thickBot="1">
      <c r="A46" s="186" t="s">
        <v>292</v>
      </c>
      <c r="B46" s="197">
        <f>($L$40)/K11</f>
        <v>876.5948301127571</v>
      </c>
      <c r="C46" s="188"/>
      <c r="D46" s="188"/>
      <c r="E46" s="188"/>
      <c r="F46" s="187"/>
      <c r="G46" s="188"/>
      <c r="H46" s="197">
        <f>M42</f>
        <v>4.149089731663994</v>
      </c>
      <c r="I46" s="200"/>
      <c r="J46" s="199">
        <f>(B46*K11/I5)+H46</f>
        <v>6.7788742220022655</v>
      </c>
      <c r="K46" s="34">
        <f>B46*21+H46*I5</f>
        <v>47452.119554015866</v>
      </c>
      <c r="L46" s="34">
        <f>K46/21</f>
        <v>2259.624740667422</v>
      </c>
      <c r="M46" s="77">
        <f>(K46/22067430)-1</f>
        <v>-0.9978496762172117</v>
      </c>
      <c r="N46" s="33"/>
      <c r="O46" s="34">
        <f>H45*10000</f>
        <v>70608.7116446665</v>
      </c>
      <c r="Q46" s="21">
        <f>(+J46/4088)-1</f>
        <v>-0.9983417626658507</v>
      </c>
      <c r="R46" s="33"/>
      <c r="S46" s="33"/>
      <c r="U46" s="33"/>
      <c r="V46" s="33"/>
    </row>
    <row r="47" spans="1:22" ht="13.5" hidden="1" thickBot="1">
      <c r="A47" s="184" t="s">
        <v>291</v>
      </c>
      <c r="B47" s="198">
        <f>($N$40)/K11</f>
        <v>572.45011887243</v>
      </c>
      <c r="C47" s="112"/>
      <c r="D47" s="112"/>
      <c r="E47" s="112"/>
      <c r="F47" s="185"/>
      <c r="G47" s="112"/>
      <c r="H47" s="198">
        <f>O42</f>
        <v>3.375152514030734</v>
      </c>
      <c r="I47" s="192"/>
      <c r="J47" s="199">
        <f>(B47*K11/I6)+H47</f>
        <v>5.092502870648024</v>
      </c>
      <c r="K47" s="34">
        <f>B47*21+H47*I6</f>
        <v>35647.52009453617</v>
      </c>
      <c r="L47" s="34">
        <f>K47/21</f>
        <v>1697.500956882675</v>
      </c>
      <c r="M47" s="77">
        <f>(K47/16656803)-1</f>
        <v>-0.9978598822298291</v>
      </c>
      <c r="N47" s="33"/>
      <c r="O47" s="33"/>
      <c r="Q47" s="21">
        <f>(+J47/3096)-1</f>
        <v>-0.9983551347317028</v>
      </c>
      <c r="R47" s="33"/>
      <c r="S47" s="33"/>
      <c r="U47" s="33"/>
      <c r="V47" s="33"/>
    </row>
    <row r="48" spans="1:24" s="76" customFormat="1" ht="13.5" thickBot="1">
      <c r="A48" s="176"/>
      <c r="B48" s="176"/>
      <c r="F48" s="177"/>
      <c r="G48" s="34"/>
      <c r="H48" s="176"/>
      <c r="I48" s="178"/>
      <c r="J48" s="178"/>
      <c r="K48" s="178"/>
      <c r="L48" s="178"/>
      <c r="M48" s="178"/>
      <c r="N48" s="178"/>
      <c r="O48" s="178"/>
      <c r="P48" s="179"/>
      <c r="Q48" s="178"/>
      <c r="R48" s="178"/>
      <c r="S48" s="178"/>
      <c r="U48" s="178"/>
      <c r="V48" s="178"/>
      <c r="W48" s="4"/>
      <c r="X48" s="4"/>
    </row>
    <row r="49" spans="1:22" ht="13.5" thickBot="1">
      <c r="A49" s="85" t="s">
        <v>6</v>
      </c>
      <c r="B49" s="83"/>
      <c r="C49" s="83"/>
      <c r="D49" s="83"/>
      <c r="E49" s="83"/>
      <c r="F49" s="82"/>
      <c r="G49" s="190">
        <f>F49/164215675</f>
        <v>0</v>
      </c>
      <c r="H49" s="83"/>
      <c r="I49" s="83"/>
      <c r="J49" s="87"/>
      <c r="K49" s="33"/>
      <c r="L49" s="33"/>
      <c r="M49" s="33"/>
      <c r="N49" s="33"/>
      <c r="O49" s="33"/>
      <c r="Q49" s="33"/>
      <c r="R49" s="33"/>
      <c r="S49" s="33"/>
      <c r="U49" s="33"/>
      <c r="V49" s="33"/>
    </row>
    <row r="50" spans="1:22" ht="12.75">
      <c r="A50" s="5" t="s">
        <v>8</v>
      </c>
      <c r="B50" s="9">
        <f>1.38*B14</f>
        <v>2.5057018799999997</v>
      </c>
      <c r="C50" s="6"/>
      <c r="D50" s="6"/>
      <c r="E50" s="6"/>
      <c r="F50" s="22">
        <f>E18+E19+E20+E21+E22+E24+E27+E34+F38</f>
        <v>394095.25462062575</v>
      </c>
      <c r="G50" s="6"/>
      <c r="H50" s="6"/>
      <c r="I50" s="13">
        <f>(F50+F49)/F55</f>
        <v>0.5250275141817673</v>
      </c>
      <c r="J50" s="180"/>
      <c r="L50" s="33"/>
      <c r="M50" s="33"/>
      <c r="N50" s="33"/>
      <c r="O50" s="33"/>
      <c r="Q50" s="33"/>
      <c r="R50" s="33"/>
      <c r="S50" s="33"/>
      <c r="U50" s="33"/>
      <c r="V50" s="33"/>
    </row>
    <row r="51" spans="1:22" ht="12.75">
      <c r="A51" s="5" t="s">
        <v>10</v>
      </c>
      <c r="B51" s="194">
        <v>4.3</v>
      </c>
      <c r="C51" s="6"/>
      <c r="D51" s="6"/>
      <c r="E51" s="6"/>
      <c r="F51" s="22">
        <f>E25</f>
        <v>73652.08003665296</v>
      </c>
      <c r="G51" s="6"/>
      <c r="H51" s="6"/>
      <c r="I51" s="13">
        <f>F51/F55</f>
        <v>0.09812188307922</v>
      </c>
      <c r="J51" s="180"/>
      <c r="L51" s="33"/>
      <c r="M51" s="33"/>
      <c r="N51" s="33"/>
      <c r="O51" s="33"/>
      <c r="Q51" s="33"/>
      <c r="R51" s="33"/>
      <c r="S51" s="33"/>
      <c r="U51" s="33"/>
      <c r="V51" s="33"/>
    </row>
    <row r="52" spans="1:22" ht="12.75">
      <c r="A52" s="5" t="str">
        <f>I13</f>
        <v>Salario min actual</v>
      </c>
      <c r="B52" s="6">
        <f>K13</f>
        <v>1421.5</v>
      </c>
      <c r="C52" s="6"/>
      <c r="D52" s="6"/>
      <c r="E52" s="6"/>
      <c r="F52" s="22">
        <f>E32+E28+E33+E29+E30</f>
        <v>281700.6857142857</v>
      </c>
      <c r="G52" s="6"/>
      <c r="H52" s="6"/>
      <c r="I52" s="13">
        <f>F52/F55</f>
        <v>0.3752915292173377</v>
      </c>
      <c r="J52" s="180"/>
      <c r="K52" s="33"/>
      <c r="L52" s="33"/>
      <c r="M52" s="33"/>
      <c r="N52" s="33"/>
      <c r="O52" s="33"/>
      <c r="Q52" s="33"/>
      <c r="R52" s="33"/>
      <c r="S52" s="33"/>
      <c r="U52" s="33"/>
      <c r="V52" s="33"/>
    </row>
    <row r="53" spans="1:22" ht="13.5" thickBot="1">
      <c r="A53" s="69" t="s">
        <v>15</v>
      </c>
      <c r="B53" s="181">
        <v>0.052</v>
      </c>
      <c r="C53" s="29"/>
      <c r="D53" s="29"/>
      <c r="E53" s="29"/>
      <c r="F53" s="80">
        <f>E26</f>
        <v>1170.2691</v>
      </c>
      <c r="G53" s="29"/>
      <c r="H53" s="29"/>
      <c r="I53" s="182">
        <f>F53/F55</f>
        <v>0.0015590735216748713</v>
      </c>
      <c r="J53" s="183">
        <f>SUM(I50:I53)</f>
        <v>0.9999999999999998</v>
      </c>
      <c r="K53" s="33"/>
      <c r="L53" s="33"/>
      <c r="M53" s="196">
        <v>40247</v>
      </c>
      <c r="N53" s="33" t="s">
        <v>300</v>
      </c>
      <c r="O53" s="33" t="s">
        <v>299</v>
      </c>
      <c r="Q53" s="33"/>
      <c r="R53" s="33" t="str">
        <f>O53</f>
        <v>julio08</v>
      </c>
      <c r="S53" s="33"/>
      <c r="U53" s="33"/>
      <c r="V53" s="33"/>
    </row>
    <row r="54" spans="1:22" ht="12.75">
      <c r="A54" s="33"/>
      <c r="B54" s="4">
        <v>102</v>
      </c>
      <c r="C54" s="33"/>
      <c r="D54" s="6"/>
      <c r="E54" s="7"/>
      <c r="F54" s="22"/>
      <c r="H54" s="12"/>
      <c r="N54" s="4" t="s">
        <v>0</v>
      </c>
      <c r="P54" s="193" t="s">
        <v>1</v>
      </c>
      <c r="S54" s="33"/>
      <c r="U54" s="33"/>
      <c r="V54" s="33"/>
    </row>
    <row r="55" spans="1:24" ht="12.75">
      <c r="A55" s="33"/>
      <c r="B55" s="33"/>
      <c r="C55" s="33"/>
      <c r="D55" s="12"/>
      <c r="E55" s="7"/>
      <c r="F55" s="22">
        <f>SUM(F49:F54)</f>
        <v>750618.2894715645</v>
      </c>
      <c r="H55" s="57"/>
      <c r="L55" s="4" t="s">
        <v>3</v>
      </c>
      <c r="M55" s="4">
        <f>B45*1000</f>
        <v>1873619.0781559001</v>
      </c>
      <c r="N55" s="4">
        <v>1624565.1895264366</v>
      </c>
      <c r="O55" s="4">
        <v>1220071.827419604</v>
      </c>
      <c r="P55" s="4">
        <f>H45</f>
        <v>7.060871164466651</v>
      </c>
      <c r="Q55" s="193">
        <v>4030.2180240822277</v>
      </c>
      <c r="R55" s="4">
        <v>3133.5736333643063</v>
      </c>
      <c r="S55" s="4">
        <f>J45</f>
        <v>16.676570821412504</v>
      </c>
      <c r="T55" s="4">
        <v>7441.804922087745</v>
      </c>
      <c r="U55" s="4">
        <v>5695.724470945474</v>
      </c>
      <c r="V55" s="4">
        <f>K45/1000</f>
        <v>68.23802631559677</v>
      </c>
      <c r="W55" s="4">
        <f>(V55/S55)*T55</f>
        <v>30450.749470444745</v>
      </c>
      <c r="X55" s="4">
        <f>56957244.7094547/1000</f>
        <v>56957.2447094547</v>
      </c>
    </row>
    <row r="56" spans="1:24" ht="12.75">
      <c r="A56" s="33"/>
      <c r="B56" s="33"/>
      <c r="C56" s="33"/>
      <c r="D56" s="6"/>
      <c r="E56" s="6"/>
      <c r="F56" s="22"/>
      <c r="H56" s="6"/>
      <c r="L56" s="4" t="s">
        <v>292</v>
      </c>
      <c r="M56" s="4">
        <f>B46*1000</f>
        <v>876594.8301127572</v>
      </c>
      <c r="N56" s="4">
        <v>778336.4028478665</v>
      </c>
      <c r="O56" s="4">
        <v>586053.3446815088</v>
      </c>
      <c r="P56" s="4">
        <f>H46</f>
        <v>4.149089731663994</v>
      </c>
      <c r="Q56" s="193">
        <v>4011.644247613036</v>
      </c>
      <c r="R56" s="4">
        <v>3124.518013461665</v>
      </c>
      <c r="S56" s="4">
        <f>J46</f>
        <v>6.7788742220022655</v>
      </c>
      <c r="T56" s="4">
        <v>6346.653456156636</v>
      </c>
      <c r="U56" s="4">
        <v>4882.678047506191</v>
      </c>
      <c r="V56" s="4">
        <f>K46/1000</f>
        <v>47.452119554015866</v>
      </c>
      <c r="W56" s="4">
        <f>(V56/S56)*T56</f>
        <v>44426.57419309646</v>
      </c>
      <c r="X56" s="4">
        <f>34178746.3325433/1000</f>
        <v>34178.7463325433</v>
      </c>
    </row>
    <row r="57" spans="1:24" ht="12.75">
      <c r="A57" s="33"/>
      <c r="B57" s="33"/>
      <c r="C57" s="33"/>
      <c r="D57" s="33"/>
      <c r="E57" s="33"/>
      <c r="F57" s="56"/>
      <c r="H57" s="33"/>
      <c r="L57" s="4" t="s">
        <v>291</v>
      </c>
      <c r="M57" s="4">
        <f>B47*1000</f>
        <v>572450.1188724301</v>
      </c>
      <c r="N57" s="4">
        <v>515878.22123562155</v>
      </c>
      <c r="O57" s="4">
        <v>389709.7474706246</v>
      </c>
      <c r="P57" s="4">
        <f>H47</f>
        <v>3.375152514030734</v>
      </c>
      <c r="Q57" s="193">
        <v>3230.5123055473214</v>
      </c>
      <c r="R57" s="4">
        <v>2522.555870281594</v>
      </c>
      <c r="S57" s="4">
        <f>J47</f>
        <v>5.092502870648024</v>
      </c>
      <c r="T57" s="4">
        <v>4778.146969254186</v>
      </c>
      <c r="U57" s="4">
        <v>3691.6851126934675</v>
      </c>
      <c r="V57" s="4">
        <f>K47/1000</f>
        <v>35.64752009453617</v>
      </c>
      <c r="W57" s="4">
        <f>(V57/S57)*T57</f>
        <v>33447.0287847793</v>
      </c>
      <c r="X57" s="4">
        <f>25841795.7888543/1000</f>
        <v>25841.795788854302</v>
      </c>
    </row>
    <row r="58" spans="1:24" ht="12.75">
      <c r="A58" s="33"/>
      <c r="B58" s="33"/>
      <c r="C58" s="33"/>
      <c r="D58" s="33"/>
      <c r="E58" s="33"/>
      <c r="F58" s="56"/>
      <c r="H58" s="56"/>
      <c r="I58" s="56"/>
      <c r="J58" s="33"/>
      <c r="K58" s="33"/>
      <c r="L58" s="33"/>
      <c r="M58" s="33"/>
      <c r="N58" s="201"/>
      <c r="O58" s="178"/>
      <c r="P58" s="179"/>
      <c r="Q58" s="201"/>
      <c r="R58" s="178"/>
      <c r="S58" s="76"/>
      <c r="T58" s="201"/>
      <c r="U58" s="178"/>
      <c r="V58" s="76"/>
      <c r="W58" s="179"/>
      <c r="X58" s="179"/>
    </row>
    <row r="59" spans="1:24" ht="12.75">
      <c r="A59" s="56" t="s">
        <v>245</v>
      </c>
      <c r="B59" s="56" t="s">
        <v>246</v>
      </c>
      <c r="H59" s="24" t="s">
        <v>249</v>
      </c>
      <c r="I59" s="56" t="s">
        <v>247</v>
      </c>
      <c r="J59" s="56" t="s">
        <v>248</v>
      </c>
      <c r="K59" s="56" t="s">
        <v>250</v>
      </c>
      <c r="L59" s="56" t="s">
        <v>251</v>
      </c>
      <c r="M59" s="56" t="s">
        <v>252</v>
      </c>
      <c r="N59" s="201"/>
      <c r="O59" s="178"/>
      <c r="P59" s="179"/>
      <c r="Q59" s="201"/>
      <c r="R59" s="178"/>
      <c r="S59" s="76"/>
      <c r="T59" s="201"/>
      <c r="U59" s="178"/>
      <c r="V59" s="76"/>
      <c r="W59" s="179"/>
      <c r="X59" s="179"/>
    </row>
    <row r="60" spans="1:24" ht="12.75">
      <c r="A60" s="56" t="s">
        <v>253</v>
      </c>
      <c r="B60" s="56">
        <v>2</v>
      </c>
      <c r="H60" s="24">
        <f>($B$45)*B60</f>
        <v>3747.2381563118</v>
      </c>
      <c r="I60" s="56">
        <v>953</v>
      </c>
      <c r="J60" s="24">
        <f>($H$45)*I60</f>
        <v>6729.010219736718</v>
      </c>
      <c r="K60" s="24">
        <f>+H60+J60</f>
        <v>10476.248376048517</v>
      </c>
      <c r="L60" s="24">
        <f>($B$46*B60)+($H$46*I60)</f>
        <v>5707.2721745013005</v>
      </c>
      <c r="M60" s="24">
        <f>($B$47*B60)+($H$47*I60)</f>
        <v>4361.420583616149</v>
      </c>
      <c r="N60" s="201"/>
      <c r="O60" s="178"/>
      <c r="P60" s="179"/>
      <c r="Q60" s="201"/>
      <c r="R60" s="178"/>
      <c r="S60" s="76"/>
      <c r="T60" s="201"/>
      <c r="U60" s="178"/>
      <c r="V60" s="76"/>
      <c r="W60" s="179"/>
      <c r="X60" s="179"/>
    </row>
    <row r="61" spans="1:24" ht="12.75">
      <c r="A61" s="56" t="s">
        <v>286</v>
      </c>
      <c r="B61" s="56">
        <v>1</v>
      </c>
      <c r="H61" s="24">
        <f>($B$45)*B61</f>
        <v>1873.6190781559</v>
      </c>
      <c r="I61" s="56">
        <f>63*2</f>
        <v>126</v>
      </c>
      <c r="J61" s="24">
        <f>($H$45)*I61</f>
        <v>889.6697667227979</v>
      </c>
      <c r="K61" s="24">
        <f>+H61+J61</f>
        <v>2763.288844878698</v>
      </c>
      <c r="L61" s="24">
        <f>($B$46*B61)+($H$46*I61)</f>
        <v>1399.3801363024204</v>
      </c>
      <c r="M61" s="24">
        <f>($B$47*B61)+($H$47*I61)</f>
        <v>997.7193356403025</v>
      </c>
      <c r="N61" s="178"/>
      <c r="O61" s="178"/>
      <c r="P61" s="179"/>
      <c r="Q61" s="178"/>
      <c r="R61" s="178"/>
      <c r="S61" s="178"/>
      <c r="T61" s="76"/>
      <c r="U61" s="178"/>
      <c r="V61" s="76"/>
      <c r="W61" s="76"/>
      <c r="X61" s="201"/>
    </row>
    <row r="62" spans="1:24" ht="12.75">
      <c r="A62" s="33"/>
      <c r="B62" s="33"/>
      <c r="C62" s="33"/>
      <c r="D62" s="33"/>
      <c r="E62" s="33"/>
      <c r="F62" s="56"/>
      <c r="G62" s="33"/>
      <c r="J62" s="33"/>
      <c r="K62" s="33"/>
      <c r="L62" s="33"/>
      <c r="M62" s="33"/>
      <c r="N62" s="178"/>
      <c r="O62" s="178"/>
      <c r="P62" s="179"/>
      <c r="Q62" s="178"/>
      <c r="R62" s="178"/>
      <c r="S62" s="178"/>
      <c r="T62" s="76"/>
      <c r="U62" s="178"/>
      <c r="V62" s="76"/>
      <c r="W62" s="76"/>
      <c r="X62" s="201"/>
    </row>
    <row r="63" spans="1:24" ht="12.75">
      <c r="A63" s="33"/>
      <c r="B63" s="33"/>
      <c r="C63" s="33"/>
      <c r="D63" s="33"/>
      <c r="E63" s="33"/>
      <c r="F63" s="56"/>
      <c r="G63" s="33"/>
      <c r="J63" s="33"/>
      <c r="K63" s="33"/>
      <c r="L63" s="33"/>
      <c r="M63" s="33"/>
      <c r="N63" s="178"/>
      <c r="O63" s="178"/>
      <c r="P63" s="179"/>
      <c r="Q63" s="178"/>
      <c r="R63" s="178"/>
      <c r="S63" s="178"/>
      <c r="T63" s="76"/>
      <c r="U63" s="178"/>
      <c r="V63" s="76"/>
      <c r="W63" s="76"/>
      <c r="X63" s="201"/>
    </row>
    <row r="64" spans="1:24" ht="12.75">
      <c r="A64" s="33"/>
      <c r="B64" s="33"/>
      <c r="C64" s="33"/>
      <c r="D64" s="33"/>
      <c r="E64" s="33"/>
      <c r="F64" s="56"/>
      <c r="G64" s="33"/>
      <c r="J64" s="33"/>
      <c r="K64" s="33"/>
      <c r="L64" s="33"/>
      <c r="M64" s="33"/>
      <c r="N64" s="178"/>
      <c r="O64" s="178"/>
      <c r="P64" s="179"/>
      <c r="Q64" s="178"/>
      <c r="R64" s="178"/>
      <c r="S64" s="178"/>
      <c r="T64" s="76"/>
      <c r="U64" s="178"/>
      <c r="V64" s="76"/>
      <c r="W64" s="76"/>
      <c r="X64" s="76"/>
    </row>
    <row r="65" spans="4:24" ht="12.75">
      <c r="D65" s="4">
        <f>B46</f>
        <v>876.5948301127571</v>
      </c>
      <c r="E65" s="4">
        <f>H46</f>
        <v>4.149089731663994</v>
      </c>
      <c r="F65" s="4" t="s">
        <v>5</v>
      </c>
      <c r="G65" s="4">
        <f>B45</f>
        <v>1873.6190781559</v>
      </c>
      <c r="H65" s="4">
        <f>H45</f>
        <v>7.060871164466651</v>
      </c>
      <c r="I65" s="33" t="s">
        <v>279</v>
      </c>
      <c r="K65" s="33"/>
      <c r="L65" s="33"/>
      <c r="M65" s="33"/>
      <c r="N65" s="178"/>
      <c r="O65" s="178"/>
      <c r="P65" s="179"/>
      <c r="Q65" s="178"/>
      <c r="R65" s="178"/>
      <c r="S65" s="178"/>
      <c r="T65" s="76"/>
      <c r="U65" s="178"/>
      <c r="V65" s="76"/>
      <c r="W65" s="76"/>
      <c r="X65" s="76"/>
    </row>
    <row r="66" spans="1:24" ht="12.75">
      <c r="A66" s="33" t="s">
        <v>280</v>
      </c>
      <c r="B66" s="75">
        <v>2.5</v>
      </c>
      <c r="C66" s="4">
        <v>936</v>
      </c>
      <c r="D66" s="33">
        <f aca="true" t="shared" si="8" ref="D66:D71">B66*$D$65</f>
        <v>2191.487075281893</v>
      </c>
      <c r="E66" s="33">
        <f aca="true" t="shared" si="9" ref="E66:E71">C66*$E$65</f>
        <v>3883.5479888374985</v>
      </c>
      <c r="F66" s="24">
        <f aca="true" t="shared" si="10" ref="F66:F71">D66+E66</f>
        <v>6075.035064119391</v>
      </c>
      <c r="G66" s="33">
        <f aca="true" t="shared" si="11" ref="G66:G71">B66*$G$65</f>
        <v>4684.0476953897505</v>
      </c>
      <c r="H66" s="33">
        <f aca="true" t="shared" si="12" ref="H66:H71">C66*$H$65</f>
        <v>6608.975409940785</v>
      </c>
      <c r="I66" s="24">
        <f aca="true" t="shared" si="13" ref="I66:I71">G66+H66</f>
        <v>11293.023105330536</v>
      </c>
      <c r="J66" s="33"/>
      <c r="K66" s="33"/>
      <c r="L66" s="33"/>
      <c r="M66" s="33"/>
      <c r="N66" s="178"/>
      <c r="O66" s="178"/>
      <c r="P66" s="179"/>
      <c r="Q66" s="178"/>
      <c r="R66" s="178"/>
      <c r="S66" s="178"/>
      <c r="T66" s="76"/>
      <c r="U66" s="178"/>
      <c r="V66" s="76"/>
      <c r="W66" s="76"/>
      <c r="X66" s="76"/>
    </row>
    <row r="67" spans="1:24" ht="13.5" thickBot="1">
      <c r="A67" s="33" t="s">
        <v>281</v>
      </c>
      <c r="B67" s="75">
        <v>1</v>
      </c>
      <c r="C67" s="33">
        <v>316</v>
      </c>
      <c r="D67" s="33">
        <f t="shared" si="8"/>
        <v>876.5948301127571</v>
      </c>
      <c r="E67" s="33">
        <f t="shared" si="9"/>
        <v>1311.1123552058223</v>
      </c>
      <c r="F67" s="24">
        <f t="shared" si="10"/>
        <v>2187.7071853185794</v>
      </c>
      <c r="G67" s="33">
        <f t="shared" si="11"/>
        <v>1873.6190781559</v>
      </c>
      <c r="H67" s="33">
        <f t="shared" si="12"/>
        <v>2231.2352879714617</v>
      </c>
      <c r="I67" s="24">
        <f t="shared" si="13"/>
        <v>4104.854366127362</v>
      </c>
      <c r="J67" s="33"/>
      <c r="K67" s="33"/>
      <c r="L67" s="33"/>
      <c r="M67" s="33"/>
      <c r="N67" s="178"/>
      <c r="O67" s="178"/>
      <c r="P67" s="179"/>
      <c r="Q67" s="178"/>
      <c r="R67" s="178"/>
      <c r="S67" s="178"/>
      <c r="T67" s="76"/>
      <c r="U67" s="178"/>
      <c r="V67" s="178"/>
      <c r="W67" s="76"/>
      <c r="X67" s="76"/>
    </row>
    <row r="68" spans="1:22" ht="13.5" thickBot="1">
      <c r="A68" s="33" t="s">
        <v>282</v>
      </c>
      <c r="B68" s="75">
        <v>3</v>
      </c>
      <c r="C68" s="33">
        <v>1550</v>
      </c>
      <c r="D68" s="33">
        <f t="shared" si="8"/>
        <v>2629.784490338271</v>
      </c>
      <c r="E68" s="33">
        <f t="shared" si="9"/>
        <v>6431.089084079191</v>
      </c>
      <c r="F68" s="24">
        <f t="shared" si="10"/>
        <v>9060.873574417463</v>
      </c>
      <c r="G68" s="33">
        <f t="shared" si="11"/>
        <v>5620.8572344677</v>
      </c>
      <c r="H68" s="33">
        <f t="shared" si="12"/>
        <v>10944.350304923308</v>
      </c>
      <c r="I68" s="24">
        <f>E68+H68</f>
        <v>17375.4393890025</v>
      </c>
      <c r="J68" s="33">
        <f>C68/2</f>
        <v>775</v>
      </c>
      <c r="K68" s="33">
        <f>J68*H45</f>
        <v>5472.175152461654</v>
      </c>
      <c r="L68" s="33">
        <f>2*B45</f>
        <v>3747.2381563118</v>
      </c>
      <c r="M68" s="187">
        <f>K68+L68</f>
        <v>9219.413308773454</v>
      </c>
      <c r="N68" s="187">
        <f>M68*1.2</f>
        <v>11063.295970528145</v>
      </c>
      <c r="O68" s="33"/>
      <c r="Q68" s="33"/>
      <c r="R68" s="33"/>
      <c r="S68" s="33"/>
      <c r="U68" s="33"/>
      <c r="V68" s="33"/>
    </row>
    <row r="69" spans="1:22" ht="12.75">
      <c r="A69" s="33" t="s">
        <v>283</v>
      </c>
      <c r="B69" s="75">
        <v>3</v>
      </c>
      <c r="C69" s="33">
        <v>1098</v>
      </c>
      <c r="D69" s="33">
        <f t="shared" si="8"/>
        <v>2629.784490338271</v>
      </c>
      <c r="E69" s="33">
        <f t="shared" si="9"/>
        <v>4555.700525367066</v>
      </c>
      <c r="F69" s="24">
        <f t="shared" si="10"/>
        <v>7185.485015705337</v>
      </c>
      <c r="G69" s="33">
        <f t="shared" si="11"/>
        <v>5620.8572344677</v>
      </c>
      <c r="H69" s="33">
        <f t="shared" si="12"/>
        <v>7752.836538584383</v>
      </c>
      <c r="I69" s="24">
        <f t="shared" si="13"/>
        <v>13373.693773052084</v>
      </c>
      <c r="J69" s="33">
        <f>I68*1.2</f>
        <v>20850.527266802997</v>
      </c>
      <c r="K69" s="33"/>
      <c r="L69" s="33"/>
      <c r="M69" s="33"/>
      <c r="N69" s="33"/>
      <c r="O69" s="33"/>
      <c r="Q69" s="33"/>
      <c r="R69" s="33"/>
      <c r="S69" s="33"/>
      <c r="U69" s="33"/>
      <c r="V69" s="33"/>
    </row>
    <row r="70" spans="1:22" ht="12.75">
      <c r="A70" s="33" t="s">
        <v>284</v>
      </c>
      <c r="B70" s="75">
        <v>1</v>
      </c>
      <c r="C70" s="33">
        <v>110</v>
      </c>
      <c r="D70" s="33">
        <f t="shared" si="8"/>
        <v>876.5948301127571</v>
      </c>
      <c r="E70" s="33">
        <f t="shared" si="9"/>
        <v>456.39987048303936</v>
      </c>
      <c r="F70" s="24">
        <f t="shared" si="10"/>
        <v>1332.9947005957965</v>
      </c>
      <c r="G70" s="33">
        <f t="shared" si="11"/>
        <v>1873.6190781559</v>
      </c>
      <c r="H70" s="33">
        <f t="shared" si="12"/>
        <v>776.6958280913316</v>
      </c>
      <c r="I70" s="24">
        <f t="shared" si="13"/>
        <v>2650.3149062472316</v>
      </c>
      <c r="J70" s="4">
        <f>B45</f>
        <v>1873.6190781559</v>
      </c>
      <c r="K70" s="33">
        <f>C70*H45</f>
        <v>776.6958280913316</v>
      </c>
      <c r="L70" s="4">
        <f>J70+K70</f>
        <v>2650.3149062472316</v>
      </c>
      <c r="M70" s="33"/>
      <c r="N70" s="33"/>
      <c r="O70" s="33"/>
      <c r="Q70" s="33"/>
      <c r="R70" s="33"/>
      <c r="S70" s="33"/>
      <c r="U70" s="33"/>
      <c r="V70" s="33"/>
    </row>
    <row r="71" spans="1:22" ht="12.75">
      <c r="A71" s="33" t="s">
        <v>285</v>
      </c>
      <c r="B71" s="75">
        <v>2.5</v>
      </c>
      <c r="C71" s="33">
        <v>956</v>
      </c>
      <c r="D71" s="33">
        <f t="shared" si="8"/>
        <v>2191.487075281893</v>
      </c>
      <c r="E71" s="33">
        <f t="shared" si="9"/>
        <v>3966.5297834707785</v>
      </c>
      <c r="F71" s="24">
        <f t="shared" si="10"/>
        <v>6158.016858752671</v>
      </c>
      <c r="G71" s="33">
        <f t="shared" si="11"/>
        <v>4684.0476953897505</v>
      </c>
      <c r="H71" s="33">
        <f t="shared" si="12"/>
        <v>6750.192833230118</v>
      </c>
      <c r="I71" s="24">
        <f t="shared" si="13"/>
        <v>11434.240528619868</v>
      </c>
      <c r="J71" s="33"/>
      <c r="K71" s="33"/>
      <c r="L71" s="33">
        <f>L70*1.2</f>
        <v>3180.377887496678</v>
      </c>
      <c r="M71" s="33"/>
      <c r="N71" s="33"/>
      <c r="O71" s="33"/>
      <c r="Q71" s="33"/>
      <c r="R71" s="33"/>
      <c r="S71" s="33"/>
      <c r="U71" s="33"/>
      <c r="V71" s="33"/>
    </row>
    <row r="72" spans="1:22" ht="12.75">
      <c r="A72" s="33"/>
      <c r="B72" s="75"/>
      <c r="C72" s="33"/>
      <c r="D72" s="33"/>
      <c r="E72" s="33"/>
      <c r="F72" s="56"/>
      <c r="G72" s="33"/>
      <c r="H72" s="33"/>
      <c r="I72" s="33"/>
      <c r="J72" s="33"/>
      <c r="K72" s="33"/>
      <c r="L72" s="33"/>
      <c r="M72" s="33"/>
      <c r="N72" s="33"/>
      <c r="O72" s="33"/>
      <c r="Q72" s="33"/>
      <c r="R72" s="33"/>
      <c r="S72" s="33"/>
      <c r="U72" s="33"/>
      <c r="V72" s="33"/>
    </row>
    <row r="73" spans="1:22" ht="12.75">
      <c r="A73" s="33"/>
      <c r="B73" s="75"/>
      <c r="C73" s="33"/>
      <c r="D73" s="33"/>
      <c r="E73" s="33"/>
      <c r="F73" s="56"/>
      <c r="G73" s="33"/>
      <c r="H73" s="33"/>
      <c r="I73" s="33"/>
      <c r="J73" s="33"/>
      <c r="K73" s="33"/>
      <c r="L73" s="33"/>
      <c r="M73" s="33"/>
      <c r="N73" s="33"/>
      <c r="O73" s="33"/>
      <c r="Q73" s="33"/>
      <c r="R73" s="33"/>
      <c r="S73" s="33"/>
      <c r="U73" s="33"/>
      <c r="V73" s="33"/>
    </row>
    <row r="74" spans="1:22" ht="12.75">
      <c r="A74" s="33"/>
      <c r="B74" s="75"/>
      <c r="C74" s="33"/>
      <c r="D74" s="33"/>
      <c r="E74" s="33"/>
      <c r="F74" s="56"/>
      <c r="G74" s="33"/>
      <c r="H74" s="33"/>
      <c r="I74" s="33"/>
      <c r="J74" s="33"/>
      <c r="K74" s="33"/>
      <c r="L74" s="33"/>
      <c r="M74" s="33"/>
      <c r="N74" s="33"/>
      <c r="O74" s="33"/>
      <c r="Q74" s="33"/>
      <c r="R74" s="33"/>
      <c r="S74" s="33"/>
      <c r="U74" s="33"/>
      <c r="V74" s="33"/>
    </row>
    <row r="75" spans="1:22" ht="12.75">
      <c r="A75" s="33"/>
      <c r="B75" s="75"/>
      <c r="C75" s="33"/>
      <c r="D75" s="33"/>
      <c r="E75" s="33"/>
      <c r="F75" s="56"/>
      <c r="G75" s="33"/>
      <c r="H75" s="33"/>
      <c r="I75" s="33"/>
      <c r="J75" s="33"/>
      <c r="K75" s="33"/>
      <c r="L75" s="33"/>
      <c r="M75" s="33"/>
      <c r="N75" s="33"/>
      <c r="O75" s="33"/>
      <c r="Q75" s="33"/>
      <c r="R75" s="33"/>
      <c r="S75" s="33"/>
      <c r="U75" s="33"/>
      <c r="V75" s="33"/>
    </row>
    <row r="76" spans="1:22" ht="12.75">
      <c r="A76" s="33"/>
      <c r="B76" s="75"/>
      <c r="C76" s="33"/>
      <c r="D76" s="33"/>
      <c r="E76" s="33"/>
      <c r="F76" s="56"/>
      <c r="G76" s="33"/>
      <c r="H76" s="33"/>
      <c r="I76" s="33"/>
      <c r="J76" s="33"/>
      <c r="K76" s="33"/>
      <c r="L76" s="33"/>
      <c r="M76" s="33"/>
      <c r="N76" s="33"/>
      <c r="O76" s="33"/>
      <c r="Q76" s="33"/>
      <c r="R76" s="33"/>
      <c r="S76" s="33"/>
      <c r="U76" s="33"/>
      <c r="V76" s="33"/>
    </row>
    <row r="77" spans="1:22" ht="12.75">
      <c r="A77" s="33"/>
      <c r="B77" s="75"/>
      <c r="C77" s="33"/>
      <c r="D77" s="33"/>
      <c r="E77" s="33"/>
      <c r="F77" s="56"/>
      <c r="G77" s="33"/>
      <c r="H77" s="33"/>
      <c r="I77" s="33"/>
      <c r="J77" s="33"/>
      <c r="K77" s="33"/>
      <c r="L77" s="33"/>
      <c r="M77" s="33"/>
      <c r="N77" s="33"/>
      <c r="O77" s="33"/>
      <c r="Q77" s="33"/>
      <c r="R77" s="33"/>
      <c r="S77" s="33"/>
      <c r="U77" s="33"/>
      <c r="V77" s="33"/>
    </row>
    <row r="78" spans="1:22" ht="12.75">
      <c r="A78" s="33"/>
      <c r="B78" s="75"/>
      <c r="C78" s="33"/>
      <c r="D78" s="33"/>
      <c r="E78" s="33"/>
      <c r="F78" s="56"/>
      <c r="G78" s="33"/>
      <c r="H78" s="33"/>
      <c r="I78" s="33"/>
      <c r="J78" s="33"/>
      <c r="K78" s="33"/>
      <c r="L78" s="33"/>
      <c r="M78" s="33"/>
      <c r="N78" s="33"/>
      <c r="O78" s="33"/>
      <c r="Q78" s="33"/>
      <c r="R78" s="33"/>
      <c r="S78" s="33"/>
      <c r="U78" s="33"/>
      <c r="V78" s="33"/>
    </row>
    <row r="79" spans="1:22" ht="12.75">
      <c r="A79" s="33"/>
      <c r="B79" s="75"/>
      <c r="C79" s="33"/>
      <c r="D79" s="33"/>
      <c r="E79" s="33"/>
      <c r="F79" s="56"/>
      <c r="G79" s="33"/>
      <c r="H79" s="33"/>
      <c r="I79" s="33"/>
      <c r="J79" s="33"/>
      <c r="K79" s="33"/>
      <c r="L79" s="33"/>
      <c r="M79" s="33"/>
      <c r="N79" s="33"/>
      <c r="O79" s="33"/>
      <c r="Q79" s="33"/>
      <c r="R79" s="33"/>
      <c r="S79" s="33"/>
      <c r="U79" s="33"/>
      <c r="V79" s="33"/>
    </row>
    <row r="80" spans="1:22" ht="12.75">
      <c r="A80" s="33"/>
      <c r="B80" s="75"/>
      <c r="C80" s="33"/>
      <c r="D80" s="33"/>
      <c r="E80" s="33"/>
      <c r="F80" s="56"/>
      <c r="G80" s="33"/>
      <c r="H80" s="33"/>
      <c r="I80" s="33"/>
      <c r="J80" s="33"/>
      <c r="K80" s="33"/>
      <c r="L80" s="33"/>
      <c r="M80" s="33"/>
      <c r="N80" s="33"/>
      <c r="O80" s="33"/>
      <c r="Q80" s="33"/>
      <c r="R80" s="33"/>
      <c r="S80" s="33"/>
      <c r="U80" s="33"/>
      <c r="V80" s="33"/>
    </row>
    <row r="81" spans="1:22" ht="12.75">
      <c r="A81" s="33"/>
      <c r="B81" s="75"/>
      <c r="C81" s="33"/>
      <c r="D81" s="33"/>
      <c r="E81" s="33"/>
      <c r="F81" s="56"/>
      <c r="G81" s="33"/>
      <c r="H81" s="33"/>
      <c r="I81" s="33"/>
      <c r="J81" s="33"/>
      <c r="K81" s="33"/>
      <c r="L81" s="33"/>
      <c r="M81" s="33"/>
      <c r="N81" s="33"/>
      <c r="O81" s="33"/>
      <c r="Q81" s="33"/>
      <c r="R81" s="33"/>
      <c r="S81" s="33"/>
      <c r="U81" s="33"/>
      <c r="V81" s="33"/>
    </row>
    <row r="82" spans="1:22" ht="12.75">
      <c r="A82" s="33"/>
      <c r="B82" s="75"/>
      <c r="C82" s="33"/>
      <c r="D82" s="33"/>
      <c r="E82" s="33"/>
      <c r="F82" s="56"/>
      <c r="G82" s="33"/>
      <c r="H82" s="33"/>
      <c r="I82" s="33"/>
      <c r="J82" s="33"/>
      <c r="K82" s="33"/>
      <c r="L82" s="33"/>
      <c r="M82" s="33"/>
      <c r="N82" s="33"/>
      <c r="O82" s="33"/>
      <c r="Q82" s="33"/>
      <c r="R82" s="33"/>
      <c r="S82" s="33"/>
      <c r="U82" s="33"/>
      <c r="V82" s="33"/>
    </row>
    <row r="83" spans="1:22" ht="12.75">
      <c r="A83" s="33"/>
      <c r="B83" s="75"/>
      <c r="C83" s="33"/>
      <c r="D83" s="33"/>
      <c r="E83" s="33"/>
      <c r="F83" s="56"/>
      <c r="G83" s="33"/>
      <c r="H83" s="33"/>
      <c r="I83" s="33"/>
      <c r="J83" s="33"/>
      <c r="K83" s="33"/>
      <c r="L83" s="33"/>
      <c r="M83" s="33"/>
      <c r="N83" s="33"/>
      <c r="O83" s="33"/>
      <c r="Q83" s="33"/>
      <c r="R83" s="33"/>
      <c r="S83" s="33"/>
      <c r="U83" s="33"/>
      <c r="V83" s="33"/>
    </row>
    <row r="84" spans="1:22" ht="12.75">
      <c r="A84" s="33"/>
      <c r="B84" s="33"/>
      <c r="C84" s="33"/>
      <c r="D84" s="33"/>
      <c r="E84" s="33"/>
      <c r="F84" s="56"/>
      <c r="G84" s="33"/>
      <c r="H84" s="33"/>
      <c r="I84" s="33"/>
      <c r="J84" s="33"/>
      <c r="K84" s="33"/>
      <c r="L84" s="33"/>
      <c r="M84" s="33"/>
      <c r="N84" s="33"/>
      <c r="O84" s="33"/>
      <c r="Q84" s="33"/>
      <c r="R84" s="33"/>
      <c r="S84" s="33"/>
      <c r="U84" s="33"/>
      <c r="V84" s="33"/>
    </row>
    <row r="85" spans="1:22" ht="12.75">
      <c r="A85" s="33"/>
      <c r="B85" s="33"/>
      <c r="C85" s="33"/>
      <c r="D85" s="33"/>
      <c r="E85" s="33"/>
      <c r="F85" s="56"/>
      <c r="G85" s="33"/>
      <c r="H85" s="33"/>
      <c r="I85" s="33"/>
      <c r="J85" s="33"/>
      <c r="K85" s="33"/>
      <c r="L85" s="33"/>
      <c r="M85" s="33"/>
      <c r="N85" s="33"/>
      <c r="O85" s="33"/>
      <c r="Q85" s="33"/>
      <c r="R85" s="33"/>
      <c r="S85" s="33"/>
      <c r="U85" s="33"/>
      <c r="V85" s="33"/>
    </row>
    <row r="86" spans="1:22" ht="12.75">
      <c r="A86" s="33"/>
      <c r="B86" s="33"/>
      <c r="C86" s="33"/>
      <c r="D86" s="33"/>
      <c r="E86" s="33"/>
      <c r="F86" s="56"/>
      <c r="G86" s="33"/>
      <c r="H86" s="33"/>
      <c r="I86" s="33"/>
      <c r="J86" s="33"/>
      <c r="K86" s="33"/>
      <c r="L86" s="33"/>
      <c r="M86" s="33"/>
      <c r="N86" s="33"/>
      <c r="O86" s="33"/>
      <c r="Q86" s="33"/>
      <c r="R86" s="33"/>
      <c r="S86" s="33"/>
      <c r="T86" s="33"/>
      <c r="U86" s="33"/>
      <c r="V86" s="33"/>
    </row>
    <row r="87" spans="1:22" ht="12.75">
      <c r="A87" s="33"/>
      <c r="B87" s="33"/>
      <c r="C87" s="33"/>
      <c r="D87" s="33"/>
      <c r="E87" s="33"/>
      <c r="F87" s="56"/>
      <c r="G87" s="33"/>
      <c r="H87" s="33"/>
      <c r="I87" s="33"/>
      <c r="J87" s="33"/>
      <c r="K87" s="33"/>
      <c r="L87" s="33"/>
      <c r="M87" s="33"/>
      <c r="N87" s="33"/>
      <c r="O87" s="33"/>
      <c r="Q87" s="33"/>
      <c r="R87" s="33"/>
      <c r="S87" s="33"/>
      <c r="T87" s="33"/>
      <c r="U87" s="33"/>
      <c r="V87" s="33"/>
    </row>
    <row r="88" spans="1:22" ht="12.75">
      <c r="A88" s="33"/>
      <c r="B88" s="33"/>
      <c r="C88" s="33"/>
      <c r="D88" s="33"/>
      <c r="E88" s="33"/>
      <c r="F88" s="56"/>
      <c r="G88" s="33"/>
      <c r="H88" s="33"/>
      <c r="I88" s="33"/>
      <c r="J88" s="33"/>
      <c r="K88" s="33"/>
      <c r="L88" s="33"/>
      <c r="M88" s="33"/>
      <c r="N88" s="33"/>
      <c r="O88" s="33"/>
      <c r="Q88" s="33"/>
      <c r="R88" s="33"/>
      <c r="S88" s="33"/>
      <c r="T88" s="33"/>
      <c r="U88" s="33"/>
      <c r="V88" s="33"/>
    </row>
    <row r="89" spans="1:22" ht="12.75">
      <c r="A89" s="33"/>
      <c r="B89" s="33"/>
      <c r="C89" s="33"/>
      <c r="D89" s="33"/>
      <c r="E89" s="33"/>
      <c r="F89" s="56"/>
      <c r="G89" s="33"/>
      <c r="H89" s="33"/>
      <c r="I89" s="33"/>
      <c r="J89" s="33"/>
      <c r="K89" s="33"/>
      <c r="L89" s="33"/>
      <c r="M89" s="33"/>
      <c r="N89" s="33"/>
      <c r="O89" s="33"/>
      <c r="Q89" s="33"/>
      <c r="R89" s="33"/>
      <c r="S89" s="33"/>
      <c r="T89" s="33"/>
      <c r="U89" s="33"/>
      <c r="V89" s="33"/>
    </row>
    <row r="90" spans="1:22" ht="12.75">
      <c r="A90" s="33"/>
      <c r="B90" s="33"/>
      <c r="C90" s="33"/>
      <c r="D90" s="33"/>
      <c r="E90" s="33"/>
      <c r="F90" s="56"/>
      <c r="G90" s="33"/>
      <c r="H90" s="33"/>
      <c r="I90" s="33"/>
      <c r="J90" s="33"/>
      <c r="K90" s="33"/>
      <c r="L90" s="33"/>
      <c r="M90" s="33"/>
      <c r="N90" s="33"/>
      <c r="O90" s="33"/>
      <c r="Q90" s="33"/>
      <c r="R90" s="33"/>
      <c r="S90" s="33"/>
      <c r="T90" s="33"/>
      <c r="U90" s="33"/>
      <c r="V90" s="33"/>
    </row>
    <row r="91" spans="1:22" ht="12.75">
      <c r="A91" s="33"/>
      <c r="B91" s="33"/>
      <c r="C91" s="33"/>
      <c r="D91" s="33"/>
      <c r="E91" s="33"/>
      <c r="F91" s="56"/>
      <c r="G91" s="33"/>
      <c r="H91" s="33"/>
      <c r="I91" s="33"/>
      <c r="J91" s="33"/>
      <c r="K91" s="33"/>
      <c r="L91" s="33"/>
      <c r="M91" s="33"/>
      <c r="N91" s="33"/>
      <c r="O91" s="33"/>
      <c r="Q91" s="33"/>
      <c r="R91" s="33"/>
      <c r="S91" s="33"/>
      <c r="T91" s="33"/>
      <c r="U91" s="33"/>
      <c r="V91" s="33"/>
    </row>
    <row r="92" spans="1:22" ht="12.75">
      <c r="A92" s="33"/>
      <c r="B92" s="33"/>
      <c r="C92" s="33"/>
      <c r="D92" s="33"/>
      <c r="E92" s="33"/>
      <c r="F92" s="56"/>
      <c r="G92" s="33"/>
      <c r="H92" s="33"/>
      <c r="I92" s="33"/>
      <c r="J92" s="33"/>
      <c r="K92" s="33"/>
      <c r="L92" s="33"/>
      <c r="M92" s="33"/>
      <c r="N92" s="33"/>
      <c r="O92" s="33"/>
      <c r="Q92" s="33"/>
      <c r="R92" s="33"/>
      <c r="S92" s="33"/>
      <c r="T92" s="33"/>
      <c r="U92" s="33"/>
      <c r="V92" s="33"/>
    </row>
    <row r="93" spans="1:22" ht="12.75">
      <c r="A93" s="33"/>
      <c r="B93" s="33"/>
      <c r="C93" s="33"/>
      <c r="D93" s="33"/>
      <c r="E93" s="33"/>
      <c r="F93" s="56"/>
      <c r="G93" s="33"/>
      <c r="H93" s="33"/>
      <c r="I93" s="33"/>
      <c r="J93" s="33"/>
      <c r="K93" s="33"/>
      <c r="L93" s="33"/>
      <c r="M93" s="33"/>
      <c r="N93" s="33"/>
      <c r="O93" s="33"/>
      <c r="Q93" s="33"/>
      <c r="R93" s="33"/>
      <c r="S93" s="33"/>
      <c r="T93" s="33"/>
      <c r="U93" s="33"/>
      <c r="V93" s="33"/>
    </row>
    <row r="94" spans="1:22" ht="12.75">
      <c r="A94" s="33"/>
      <c r="B94" s="33"/>
      <c r="C94" s="33"/>
      <c r="D94" s="33"/>
      <c r="E94" s="33"/>
      <c r="F94" s="56"/>
      <c r="G94" s="33"/>
      <c r="H94" s="33"/>
      <c r="I94" s="33"/>
      <c r="J94" s="33"/>
      <c r="K94" s="33"/>
      <c r="L94" s="33"/>
      <c r="M94" s="33"/>
      <c r="N94" s="33"/>
      <c r="O94" s="33"/>
      <c r="Q94" s="33"/>
      <c r="R94" s="33"/>
      <c r="S94" s="33"/>
      <c r="T94" s="33"/>
      <c r="U94" s="33"/>
      <c r="V94" s="33"/>
    </row>
    <row r="95" spans="1:22" ht="12.75">
      <c r="A95" s="33"/>
      <c r="B95" s="33"/>
      <c r="C95" s="33"/>
      <c r="D95" s="33"/>
      <c r="E95" s="33"/>
      <c r="F95" s="56"/>
      <c r="G95" s="33"/>
      <c r="H95" s="33"/>
      <c r="I95" s="33"/>
      <c r="J95" s="33"/>
      <c r="K95" s="33"/>
      <c r="L95" s="33"/>
      <c r="M95" s="33"/>
      <c r="N95" s="33"/>
      <c r="O95" s="33"/>
      <c r="Q95" s="33"/>
      <c r="R95" s="33"/>
      <c r="S95" s="33"/>
      <c r="T95" s="33"/>
      <c r="U95" s="33"/>
      <c r="V95" s="33"/>
    </row>
    <row r="96" spans="1:22" ht="12.75">
      <c r="A96" s="33"/>
      <c r="B96" s="33"/>
      <c r="C96" s="33"/>
      <c r="D96" s="33"/>
      <c r="E96" s="33"/>
      <c r="F96" s="56"/>
      <c r="G96" s="33"/>
      <c r="H96" s="33"/>
      <c r="I96" s="33"/>
      <c r="J96" s="33"/>
      <c r="K96" s="33"/>
      <c r="L96" s="33"/>
      <c r="M96" s="33"/>
      <c r="N96" s="33"/>
      <c r="O96" s="33"/>
      <c r="Q96" s="33"/>
      <c r="R96" s="33"/>
      <c r="S96" s="33"/>
      <c r="T96" s="33"/>
      <c r="U96" s="33"/>
      <c r="V96" s="33"/>
    </row>
    <row r="97" spans="1:22" ht="12.75">
      <c r="A97" s="33"/>
      <c r="B97" s="33"/>
      <c r="C97" s="33"/>
      <c r="D97" s="33"/>
      <c r="E97" s="33"/>
      <c r="F97" s="56"/>
      <c r="G97" s="33"/>
      <c r="H97" s="33"/>
      <c r="I97" s="33"/>
      <c r="J97" s="33"/>
      <c r="K97" s="33"/>
      <c r="L97" s="33"/>
      <c r="M97" s="33"/>
      <c r="N97" s="33"/>
      <c r="O97" s="33"/>
      <c r="Q97" s="33"/>
      <c r="R97" s="33"/>
      <c r="S97" s="33"/>
      <c r="T97" s="33"/>
      <c r="U97" s="33"/>
      <c r="V97" s="33"/>
    </row>
    <row r="98" spans="1:22" ht="12.75">
      <c r="A98" s="33"/>
      <c r="B98" s="33"/>
      <c r="C98" s="33"/>
      <c r="D98" s="33"/>
      <c r="E98" s="33"/>
      <c r="F98" s="56"/>
      <c r="G98" s="33"/>
      <c r="H98" s="33"/>
      <c r="I98" s="33"/>
      <c r="J98" s="33"/>
      <c r="K98" s="33"/>
      <c r="L98" s="33"/>
      <c r="M98" s="33"/>
      <c r="N98" s="33"/>
      <c r="O98" s="33"/>
      <c r="Q98" s="33"/>
      <c r="R98" s="33"/>
      <c r="S98" s="33"/>
      <c r="T98" s="33"/>
      <c r="U98" s="33"/>
      <c r="V98" s="33"/>
    </row>
    <row r="99" spans="1:22" ht="12.75">
      <c r="A99" s="33"/>
      <c r="B99" s="33"/>
      <c r="C99" s="33"/>
      <c r="D99" s="33"/>
      <c r="E99" s="33"/>
      <c r="F99" s="56"/>
      <c r="G99" s="33"/>
      <c r="H99" s="33"/>
      <c r="I99" s="33"/>
      <c r="J99" s="33"/>
      <c r="K99" s="33"/>
      <c r="L99" s="33"/>
      <c r="M99" s="33"/>
      <c r="N99" s="33"/>
      <c r="O99" s="33"/>
      <c r="Q99" s="33"/>
      <c r="R99" s="33"/>
      <c r="S99" s="33"/>
      <c r="T99" s="33"/>
      <c r="U99" s="33"/>
      <c r="V99" s="33"/>
    </row>
    <row r="100" spans="1:22" ht="12.75">
      <c r="A100" s="33"/>
      <c r="B100" s="33"/>
      <c r="C100" s="33"/>
      <c r="D100" s="33"/>
      <c r="E100" s="33"/>
      <c r="F100" s="56"/>
      <c r="G100" s="33"/>
      <c r="H100" s="33"/>
      <c r="I100" s="33"/>
      <c r="J100" s="33"/>
      <c r="K100" s="33"/>
      <c r="L100" s="33"/>
      <c r="M100" s="33"/>
      <c r="N100" s="33"/>
      <c r="O100" s="33"/>
      <c r="Q100" s="33"/>
      <c r="R100" s="33"/>
      <c r="S100" s="33"/>
      <c r="T100" s="33"/>
      <c r="U100" s="33"/>
      <c r="V100" s="33"/>
    </row>
    <row r="101" spans="1:22" ht="12.75">
      <c r="A101" s="33"/>
      <c r="B101" s="33"/>
      <c r="C101" s="33"/>
      <c r="D101" s="33"/>
      <c r="E101" s="33"/>
      <c r="F101" s="56"/>
      <c r="G101" s="33"/>
      <c r="H101" s="33"/>
      <c r="I101" s="33"/>
      <c r="J101" s="33"/>
      <c r="K101" s="33"/>
      <c r="L101" s="33"/>
      <c r="M101" s="33"/>
      <c r="N101" s="33"/>
      <c r="O101" s="33"/>
      <c r="Q101" s="33"/>
      <c r="R101" s="33"/>
      <c r="S101" s="33"/>
      <c r="T101" s="33"/>
      <c r="U101" s="33"/>
      <c r="V101" s="33"/>
    </row>
    <row r="102" spans="1:22" ht="12.75">
      <c r="A102" s="33"/>
      <c r="B102" s="33"/>
      <c r="C102" s="33"/>
      <c r="D102" s="33"/>
      <c r="E102" s="33"/>
      <c r="F102" s="56"/>
      <c r="G102" s="33"/>
      <c r="H102" s="33"/>
      <c r="I102" s="33"/>
      <c r="J102" s="33"/>
      <c r="K102" s="33"/>
      <c r="L102" s="33"/>
      <c r="M102" s="33"/>
      <c r="N102" s="33"/>
      <c r="O102" s="33"/>
      <c r="Q102" s="33"/>
      <c r="R102" s="33"/>
      <c r="S102" s="33"/>
      <c r="T102" s="33"/>
      <c r="U102" s="33"/>
      <c r="V102" s="33"/>
    </row>
    <row r="103" spans="1:22" ht="12.75">
      <c r="A103" s="33"/>
      <c r="B103" s="33"/>
      <c r="C103" s="33"/>
      <c r="D103" s="33"/>
      <c r="E103" s="33"/>
      <c r="F103" s="56"/>
      <c r="G103" s="33"/>
      <c r="H103" s="33"/>
      <c r="I103" s="33"/>
      <c r="J103" s="33"/>
      <c r="K103" s="33"/>
      <c r="L103" s="33"/>
      <c r="M103" s="33"/>
      <c r="N103" s="33"/>
      <c r="O103" s="33"/>
      <c r="Q103" s="33"/>
      <c r="R103" s="33"/>
      <c r="S103" s="33"/>
      <c r="T103" s="33"/>
      <c r="U103" s="33"/>
      <c r="V103" s="3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3"/>
  <sheetViews>
    <sheetView zoomScalePageLayoutView="0" workbookViewId="0" topLeftCell="A30">
      <selection activeCell="K45" sqref="K45"/>
    </sheetView>
  </sheetViews>
  <sheetFormatPr defaultColWidth="11.421875" defaultRowHeight="12.75"/>
  <cols>
    <col min="1" max="1" width="20.421875" style="4" customWidth="1"/>
    <col min="2" max="2" width="12.140625" style="4" customWidth="1"/>
    <col min="3" max="3" width="10.8515625" style="4" customWidth="1"/>
    <col min="4" max="4" width="12.8515625" style="4" customWidth="1"/>
    <col min="5" max="5" width="13.28125" style="4" bestFit="1" customWidth="1"/>
    <col min="6" max="6" width="11.7109375" style="24" hidden="1" customWidth="1"/>
    <col min="7" max="7" width="11.57421875" style="4" hidden="1" customWidth="1"/>
    <col min="8" max="8" width="11.57421875" style="4" customWidth="1"/>
    <col min="9" max="9" width="11.140625" style="4" customWidth="1"/>
    <col min="10" max="10" width="10.140625" style="4" customWidth="1"/>
    <col min="11" max="11" width="12.140625" style="4" bestFit="1" customWidth="1"/>
    <col min="12" max="12" width="10.140625" style="4" customWidth="1"/>
    <col min="13" max="13" width="12.140625" style="4" bestFit="1" customWidth="1"/>
    <col min="14" max="14" width="10.28125" style="4" bestFit="1" customWidth="1"/>
    <col min="15" max="15" width="10.8515625" style="4" customWidth="1"/>
    <col min="16" max="16" width="7.8515625" style="32" customWidth="1"/>
    <col min="17" max="17" width="14.421875" style="4" customWidth="1"/>
    <col min="18" max="18" width="13.7109375" style="4" customWidth="1"/>
    <col min="19" max="20" width="11.421875" style="4" customWidth="1"/>
    <col min="21" max="21" width="10.8515625" style="4" customWidth="1"/>
    <col min="22" max="23" width="6.7109375" style="4" bestFit="1" customWidth="1"/>
    <col min="24" max="24" width="8.421875" style="4" bestFit="1" customWidth="1"/>
    <col min="25" max="25" width="12.28125" style="4" bestFit="1" customWidth="1"/>
    <col min="26" max="26" width="10.8515625" style="4" bestFit="1" customWidth="1"/>
    <col min="27" max="27" width="13.8515625" style="4" bestFit="1" customWidth="1"/>
    <col min="28" max="28" width="11.00390625" style="4" customWidth="1"/>
    <col min="29" max="29" width="13.00390625" style="4" bestFit="1" customWidth="1"/>
    <col min="30" max="30" width="12.28125" style="4" bestFit="1" customWidth="1"/>
    <col min="31" max="31" width="13.140625" style="4" bestFit="1" customWidth="1"/>
    <col min="32" max="32" width="12.8515625" style="4" bestFit="1" customWidth="1"/>
    <col min="33" max="33" width="16.57421875" style="4" bestFit="1" customWidth="1"/>
    <col min="34" max="34" width="12.00390625" style="4" customWidth="1"/>
    <col min="35" max="35" width="11.57421875" style="4" bestFit="1" customWidth="1"/>
    <col min="36" max="36" width="13.7109375" style="4" bestFit="1" customWidth="1"/>
    <col min="37" max="37" width="12.28125" style="4" customWidth="1"/>
    <col min="38" max="38" width="12.7109375" style="4" bestFit="1" customWidth="1"/>
    <col min="39" max="39" width="10.8515625" style="4" bestFit="1" customWidth="1"/>
    <col min="40" max="40" width="11.28125" style="4" bestFit="1" customWidth="1"/>
    <col min="41" max="41" width="13.00390625" style="4" bestFit="1" customWidth="1"/>
    <col min="42" max="42" width="14.421875" style="4" bestFit="1" customWidth="1"/>
    <col min="43" max="43" width="12.421875" style="4" bestFit="1" customWidth="1"/>
    <col min="44" max="44" width="11.57421875" style="4" bestFit="1" customWidth="1"/>
    <col min="45" max="45" width="12.00390625" style="4" bestFit="1" customWidth="1"/>
    <col min="46" max="46" width="12.28125" style="4" bestFit="1" customWidth="1"/>
    <col min="47" max="47" width="13.7109375" style="4" customWidth="1"/>
    <col min="48" max="48" width="10.57421875" style="4" bestFit="1" customWidth="1"/>
    <col min="49" max="49" width="10.57421875" style="4" customWidth="1"/>
    <col min="50" max="50" width="12.28125" style="4" customWidth="1"/>
    <col min="51" max="51" width="11.28125" style="4" customWidth="1"/>
    <col min="52" max="52" width="11.57421875" style="4" customWidth="1"/>
    <col min="53" max="53" width="12.00390625" style="4" customWidth="1"/>
    <col min="54" max="54" width="11.57421875" style="4" customWidth="1"/>
    <col min="55" max="56" width="12.140625" style="4" customWidth="1"/>
    <col min="57" max="57" width="10.8515625" style="4" customWidth="1"/>
    <col min="58" max="58" width="11.57421875" style="4" customWidth="1"/>
    <col min="59" max="60" width="13.57421875" style="4" bestFit="1" customWidth="1"/>
    <col min="61" max="61" width="17.28125" style="4" customWidth="1"/>
    <col min="62" max="62" width="13.57421875" style="4" bestFit="1" customWidth="1"/>
    <col min="63" max="63" width="17.28125" style="4" customWidth="1"/>
    <col min="64" max="64" width="11.421875" style="4" customWidth="1"/>
    <col min="65" max="65" width="12.421875" style="4" customWidth="1"/>
    <col min="66" max="73" width="11.421875" style="4" customWidth="1"/>
    <col min="74" max="100" width="0" style="4" hidden="1" customWidth="1"/>
    <col min="101" max="101" width="12.57421875" style="4" hidden="1" customWidth="1"/>
    <col min="102" max="128" width="0" style="4" hidden="1" customWidth="1"/>
    <col min="129" max="130" width="12.7109375" style="4" hidden="1" customWidth="1"/>
    <col min="131" max="134" width="0" style="4" hidden="1" customWidth="1"/>
    <col min="135" max="135" width="12.57421875" style="4" hidden="1" customWidth="1"/>
    <col min="136" max="137" width="0" style="4" hidden="1" customWidth="1"/>
    <col min="138" max="138" width="12.00390625" style="4" hidden="1" customWidth="1"/>
    <col min="139" max="140" width="0" style="4" hidden="1" customWidth="1"/>
    <col min="141" max="141" width="12.7109375" style="4" hidden="1" customWidth="1"/>
    <col min="142" max="143" width="0" style="4" hidden="1" customWidth="1"/>
    <col min="144" max="144" width="12.7109375" style="4" hidden="1" customWidth="1"/>
    <col min="145" max="146" width="0" style="4" hidden="1" customWidth="1"/>
    <col min="147" max="147" width="13.28125" style="4" hidden="1" customWidth="1"/>
    <col min="148" max="152" width="0" style="4" hidden="1" customWidth="1"/>
    <col min="153" max="153" width="13.421875" style="4" hidden="1" customWidth="1"/>
    <col min="154" max="155" width="0" style="4" hidden="1" customWidth="1"/>
    <col min="156" max="156" width="14.7109375" style="4" customWidth="1"/>
    <col min="157" max="157" width="14.00390625" style="4" customWidth="1"/>
    <col min="158" max="158" width="11.421875" style="4" customWidth="1"/>
    <col min="159" max="159" width="13.421875" style="4" customWidth="1"/>
    <col min="160" max="160" width="13.57421875" style="4" bestFit="1" customWidth="1"/>
    <col min="161" max="16384" width="11.421875" style="4" customWidth="1"/>
  </cols>
  <sheetData>
    <row r="1" spans="1:16" ht="13.5" thickBot="1">
      <c r="A1" s="85" t="s">
        <v>257</v>
      </c>
      <c r="B1" s="83"/>
      <c r="C1" s="83"/>
      <c r="D1" s="83"/>
      <c r="E1" s="83"/>
      <c r="F1" s="82"/>
      <c r="G1" s="83"/>
      <c r="H1" s="83"/>
      <c r="I1" s="86"/>
      <c r="J1" s="83"/>
      <c r="K1" s="87"/>
      <c r="L1" s="2"/>
      <c r="M1" s="2"/>
      <c r="N1" s="2"/>
      <c r="O1" s="2"/>
      <c r="P1" s="3"/>
    </row>
    <row r="2" spans="1:17" ht="12.75">
      <c r="A2" s="53" t="s">
        <v>238</v>
      </c>
      <c r="B2" s="6"/>
      <c r="C2" s="6"/>
      <c r="D2" s="6"/>
      <c r="E2" s="6"/>
      <c r="F2" s="22"/>
      <c r="G2" s="6"/>
      <c r="H2" s="6" t="s">
        <v>254</v>
      </c>
      <c r="I2" s="6" t="s">
        <v>239</v>
      </c>
      <c r="J2" s="6" t="s">
        <v>240</v>
      </c>
      <c r="K2" s="67" t="s">
        <v>241</v>
      </c>
      <c r="M2" s="6"/>
      <c r="N2" s="6"/>
      <c r="O2" s="6"/>
      <c r="P2" s="8"/>
      <c r="Q2" s="77"/>
    </row>
    <row r="3" spans="1:16" ht="12.75">
      <c r="A3" s="53" t="s">
        <v>2</v>
      </c>
      <c r="B3" s="6">
        <f>150000*B50</f>
        <v>375855.28199999995</v>
      </c>
      <c r="C3" s="6">
        <v>11</v>
      </c>
      <c r="D3" s="6">
        <f>C3*B3</f>
        <v>4134408.1019999995</v>
      </c>
      <c r="E3" s="6"/>
      <c r="F3" s="22"/>
      <c r="G3" s="6"/>
      <c r="H3" s="9">
        <f>'Costos Km'!L77</f>
        <v>1.4565490615115322</v>
      </c>
      <c r="I3" s="6">
        <v>10000</v>
      </c>
      <c r="J3" s="6">
        <f>H3*I3</f>
        <v>14565.490615115323</v>
      </c>
      <c r="K3" s="67">
        <f>J3*C3</f>
        <v>160220.39676626856</v>
      </c>
      <c r="M3" s="6"/>
      <c r="N3" s="6"/>
      <c r="O3" s="6"/>
      <c r="P3" s="8"/>
    </row>
    <row r="4" spans="1:16" ht="12.75">
      <c r="A4" s="53" t="s">
        <v>4</v>
      </c>
      <c r="B4" s="6">
        <f>100000*B50</f>
        <v>250570.18799999997</v>
      </c>
      <c r="C4" s="6">
        <v>11</v>
      </c>
      <c r="D4" s="6">
        <f>C4*B4</f>
        <v>2756272.0679999995</v>
      </c>
      <c r="E4" s="6"/>
      <c r="F4" s="22"/>
      <c r="G4" s="6"/>
      <c r="H4" s="9">
        <f>'Costos Km'!L101</f>
        <v>0.17978747078943746</v>
      </c>
      <c r="I4" s="6">
        <f>I3</f>
        <v>10000</v>
      </c>
      <c r="J4" s="6">
        <f>H4*I4</f>
        <v>1797.8747078943748</v>
      </c>
      <c r="K4" s="67">
        <f>J4*C4</f>
        <v>19776.62178683812</v>
      </c>
      <c r="M4" s="6"/>
      <c r="N4" s="6"/>
      <c r="O4" s="6"/>
      <c r="P4" s="8"/>
    </row>
    <row r="5" spans="1:16" ht="12.75">
      <c r="A5" s="53" t="s">
        <v>290</v>
      </c>
      <c r="B5" s="6">
        <f>110000*B50</f>
        <v>275627.2068</v>
      </c>
      <c r="C5" s="10">
        <v>10</v>
      </c>
      <c r="D5" s="6">
        <f>C5*B5</f>
        <v>2756272.068</v>
      </c>
      <c r="E5" s="6"/>
      <c r="F5" s="22"/>
      <c r="G5" s="6"/>
      <c r="H5" s="9">
        <f>'Costos Km'!L177</f>
        <v>1.432217675100947</v>
      </c>
      <c r="I5" s="6">
        <f>3*750*4.33</f>
        <v>9742.5</v>
      </c>
      <c r="J5" s="6">
        <f>H5*I5</f>
        <v>13953.380699670975</v>
      </c>
      <c r="K5" s="67">
        <f>J5*C5</f>
        <v>139533.80699670975</v>
      </c>
      <c r="M5" s="6"/>
      <c r="N5" s="6"/>
      <c r="O5" s="6"/>
      <c r="P5" s="8"/>
    </row>
    <row r="6" spans="1:16" ht="13.5" thickBot="1">
      <c r="A6" s="53" t="s">
        <v>287</v>
      </c>
      <c r="B6" s="6">
        <f>90000*B50</f>
        <v>225513.16919999997</v>
      </c>
      <c r="C6" s="11">
        <v>10</v>
      </c>
      <c r="D6" s="6">
        <f>C6*B6</f>
        <v>2255131.692</v>
      </c>
      <c r="E6" s="6"/>
      <c r="F6" s="22"/>
      <c r="G6" s="6"/>
      <c r="H6" s="9">
        <f>'Costos Km'!L256</f>
        <v>1.1863336543951357</v>
      </c>
      <c r="I6" s="6">
        <f>I5*0.8</f>
        <v>7794</v>
      </c>
      <c r="J6" s="6">
        <f>H6*I6</f>
        <v>9246.284502355687</v>
      </c>
      <c r="K6" s="67">
        <f>J6*C6</f>
        <v>92462.84502355687</v>
      </c>
      <c r="M6" s="6"/>
      <c r="N6" s="6"/>
      <c r="O6" s="6"/>
      <c r="P6" s="8"/>
    </row>
    <row r="7" spans="1:16" ht="13.5" thickBot="1">
      <c r="A7" s="81" t="s">
        <v>9</v>
      </c>
      <c r="B7" s="82"/>
      <c r="C7" s="82"/>
      <c r="D7" s="82">
        <f>((C3*B3)+(C4*B4)+(C5*B5)+(C6*B6))</f>
        <v>11902083.929999998</v>
      </c>
      <c r="E7" s="82"/>
      <c r="F7" s="83"/>
      <c r="G7" s="83"/>
      <c r="H7" s="83"/>
      <c r="I7" s="83"/>
      <c r="J7" s="83"/>
      <c r="K7" s="84">
        <f>SUM(K3:K6)</f>
        <v>411993.6705733733</v>
      </c>
      <c r="M7" s="9"/>
      <c r="N7" s="9"/>
      <c r="O7" s="9"/>
      <c r="P7" s="8"/>
    </row>
    <row r="8" spans="5:16" ht="13.5" thickBot="1">
      <c r="E8" s="24"/>
      <c r="F8" s="4"/>
      <c r="I8" s="6"/>
      <c r="M8" s="9"/>
      <c r="N8" s="9"/>
      <c r="O8" s="9"/>
      <c r="P8" s="8"/>
    </row>
    <row r="9" spans="1:16" ht="12.75">
      <c r="A9" s="1" t="s">
        <v>11</v>
      </c>
      <c r="B9" s="88">
        <v>0.07</v>
      </c>
      <c r="C9" s="2"/>
      <c r="D9" s="2"/>
      <c r="E9" s="2"/>
      <c r="F9" s="79"/>
      <c r="G9" s="2"/>
      <c r="H9" s="2"/>
      <c r="I9" s="2" t="s">
        <v>12</v>
      </c>
      <c r="J9" s="2"/>
      <c r="K9" s="71">
        <f>65*B50</f>
        <v>162.87062219999999</v>
      </c>
      <c r="M9" s="9"/>
      <c r="N9" s="9"/>
      <c r="O9" s="9"/>
      <c r="P9" s="8"/>
    </row>
    <row r="10" spans="1:16" ht="12.75">
      <c r="A10" s="5" t="s">
        <v>14</v>
      </c>
      <c r="B10" s="6">
        <v>0</v>
      </c>
      <c r="C10" s="6"/>
      <c r="D10" s="6"/>
      <c r="E10" s="6"/>
      <c r="F10" s="22"/>
      <c r="G10" s="6"/>
      <c r="H10" s="6"/>
      <c r="I10" s="6" t="s">
        <v>43</v>
      </c>
      <c r="J10" s="6"/>
      <c r="K10" s="89">
        <v>1.4</v>
      </c>
      <c r="M10" s="9">
        <v>1.0787965616045845</v>
      </c>
      <c r="N10" s="9" t="s">
        <v>293</v>
      </c>
      <c r="O10" s="9"/>
      <c r="P10" s="8"/>
    </row>
    <row r="11" spans="1:16" ht="12.75">
      <c r="A11" s="5" t="s">
        <v>16</v>
      </c>
      <c r="B11" s="6">
        <v>7</v>
      </c>
      <c r="C11" s="6"/>
      <c r="D11" s="6"/>
      <c r="E11" s="6"/>
      <c r="F11" s="22"/>
      <c r="G11" s="6"/>
      <c r="H11" s="6"/>
      <c r="I11" s="6" t="s">
        <v>7</v>
      </c>
      <c r="J11" s="6"/>
      <c r="K11" s="67">
        <f>4.33*5</f>
        <v>21.65</v>
      </c>
      <c r="M11" s="9">
        <f>1.124+0.02</f>
        <v>1.1440000000000001</v>
      </c>
      <c r="N11" s="9" t="s">
        <v>294</v>
      </c>
      <c r="O11" s="9"/>
      <c r="P11" s="8"/>
    </row>
    <row r="12" spans="1:16" ht="12.75">
      <c r="A12" s="5" t="s">
        <v>18</v>
      </c>
      <c r="B12" s="12">
        <v>0.3</v>
      </c>
      <c r="C12" s="6" t="s">
        <v>295</v>
      </c>
      <c r="D12" s="6" t="s">
        <v>296</v>
      </c>
      <c r="E12" s="9">
        <v>139.7</v>
      </c>
      <c r="F12" s="22"/>
      <c r="G12" s="6"/>
      <c r="H12" s="6"/>
      <c r="I12" s="6" t="s">
        <v>17</v>
      </c>
      <c r="J12" s="6"/>
      <c r="K12" s="191">
        <f>+B51</f>
        <v>4.3</v>
      </c>
      <c r="M12" s="9"/>
      <c r="N12" s="9"/>
      <c r="O12" s="9"/>
      <c r="P12" s="8"/>
    </row>
    <row r="13" spans="1:16" ht="12.75">
      <c r="A13" s="5" t="s">
        <v>255</v>
      </c>
      <c r="B13" s="14">
        <v>0.24</v>
      </c>
      <c r="C13" s="6"/>
      <c r="D13" s="6" t="s">
        <v>297</v>
      </c>
      <c r="E13" s="9">
        <v>169.3</v>
      </c>
      <c r="F13" s="22"/>
      <c r="G13" s="6"/>
      <c r="H13" s="6"/>
      <c r="I13" s="6" t="s">
        <v>13</v>
      </c>
      <c r="J13" s="6"/>
      <c r="K13" s="191">
        <f>((1064)+(65*0.25*22))</f>
        <v>1421.5</v>
      </c>
      <c r="M13" s="9">
        <v>1.22</v>
      </c>
      <c r="N13" s="12" t="s">
        <v>23</v>
      </c>
      <c r="O13" s="12"/>
      <c r="P13" s="8"/>
    </row>
    <row r="14" spans="1:16" ht="13.5" thickBot="1">
      <c r="A14" s="69" t="str">
        <f>A50</f>
        <v>Inflacion-Accum</v>
      </c>
      <c r="B14" s="192">
        <f>+M13*1.23*1.21</f>
        <v>1.815726</v>
      </c>
      <c r="C14" s="29"/>
      <c r="D14" s="29" t="s">
        <v>298</v>
      </c>
      <c r="E14" s="195">
        <f>(E13/E12)-1</f>
        <v>0.2118826055833931</v>
      </c>
      <c r="F14" s="80"/>
      <c r="G14" s="29"/>
      <c r="H14" s="29"/>
      <c r="I14" s="29" t="str">
        <f>A53</f>
        <v>Combustible Bs</v>
      </c>
      <c r="J14" s="29"/>
      <c r="K14" s="90">
        <f>B53</f>
        <v>0.052</v>
      </c>
      <c r="L14" s="6"/>
      <c r="M14" s="6"/>
      <c r="N14" s="12"/>
      <c r="O14" s="12"/>
      <c r="P14" s="8"/>
    </row>
    <row r="15" spans="1:16" ht="13.5" thickBot="1">
      <c r="A15" s="5"/>
      <c r="B15" s="6"/>
      <c r="C15" s="6"/>
      <c r="D15" s="6"/>
      <c r="E15" s="6"/>
      <c r="F15" s="22"/>
      <c r="H15" s="6"/>
      <c r="I15" s="6"/>
      <c r="J15" s="6"/>
      <c r="K15" s="6"/>
      <c r="L15" s="6"/>
      <c r="M15" s="6"/>
      <c r="N15" s="6"/>
      <c r="O15" s="12"/>
      <c r="P15" s="15"/>
    </row>
    <row r="16" spans="1:18" ht="13.5" thickBot="1">
      <c r="A16" s="98" t="s">
        <v>19</v>
      </c>
      <c r="B16" s="115"/>
      <c r="C16" s="120" t="s">
        <v>20</v>
      </c>
      <c r="D16" s="99" t="s">
        <v>21</v>
      </c>
      <c r="E16" s="121" t="s">
        <v>22</v>
      </c>
      <c r="F16" s="99" t="s">
        <v>23</v>
      </c>
      <c r="G16" s="100" t="s">
        <v>24</v>
      </c>
      <c r="H16" s="134" t="s">
        <v>25</v>
      </c>
      <c r="I16" s="101" t="s">
        <v>26</v>
      </c>
      <c r="J16" s="101" t="s">
        <v>27</v>
      </c>
      <c r="K16" s="135" t="s">
        <v>28</v>
      </c>
      <c r="L16" s="148" t="s">
        <v>29</v>
      </c>
      <c r="M16" s="149" t="s">
        <v>30</v>
      </c>
      <c r="N16" s="162" t="s">
        <v>288</v>
      </c>
      <c r="O16" s="163" t="s">
        <v>289</v>
      </c>
      <c r="P16" s="102"/>
      <c r="Q16" s="98" t="s">
        <v>19</v>
      </c>
      <c r="R16" s="103"/>
    </row>
    <row r="17" spans="1:18" ht="12.75">
      <c r="A17" s="110" t="s">
        <v>31</v>
      </c>
      <c r="B17" s="116"/>
      <c r="C17" s="122"/>
      <c r="D17" s="91"/>
      <c r="E17" s="123"/>
      <c r="F17" s="91"/>
      <c r="G17" s="92"/>
      <c r="H17" s="136"/>
      <c r="I17" s="93"/>
      <c r="J17" s="93"/>
      <c r="K17" s="137"/>
      <c r="L17" s="150"/>
      <c r="M17" s="151"/>
      <c r="N17" s="164"/>
      <c r="O17" s="165"/>
      <c r="P17" s="3"/>
      <c r="Q17" s="110" t="s">
        <v>31</v>
      </c>
      <c r="R17" s="94"/>
    </row>
    <row r="18" spans="1:18" ht="12.75">
      <c r="A18" s="17" t="s">
        <v>274</v>
      </c>
      <c r="B18" s="95"/>
      <c r="C18" s="124">
        <f>H18*$C$3+J18*$C$4+L18*$C$5+N18*$C$6</f>
        <v>121706.638502625</v>
      </c>
      <c r="D18" s="18"/>
      <c r="E18" s="125">
        <f>C18+D18</f>
        <v>121706.638502625</v>
      </c>
      <c r="F18" s="19">
        <f>C18</f>
        <v>121706.638502625</v>
      </c>
      <c r="G18" s="6">
        <f>(($C$3*H18)+($C$4*J18)+($C$5*L18)+($C$6*N18))</f>
        <v>121706.638502625</v>
      </c>
      <c r="H18" s="138">
        <f>'Intereses Inversion Usados'!C90</f>
        <v>4901.048473035007</v>
      </c>
      <c r="I18" s="20"/>
      <c r="J18" s="20">
        <f>'Intereses Inversion Usados'!F90</f>
        <v>1573.5807806399953</v>
      </c>
      <c r="K18" s="139"/>
      <c r="L18" s="152">
        <f>'Intereses Inversion Usados'!I90</f>
        <v>3081.5956954200033</v>
      </c>
      <c r="M18" s="153"/>
      <c r="N18" s="166">
        <f>'Intereses Inversion Usados'!L90</f>
        <v>1966.975975799996</v>
      </c>
      <c r="O18" s="167"/>
      <c r="P18" s="21">
        <f>E18/$F$40</f>
        <v>0.06010339144514668</v>
      </c>
      <c r="Q18" s="17" t="s">
        <v>32</v>
      </c>
      <c r="R18" s="95"/>
    </row>
    <row r="19" spans="1:18" ht="12.75">
      <c r="A19" s="17" t="s">
        <v>33</v>
      </c>
      <c r="B19" s="95"/>
      <c r="C19" s="124">
        <f>((D7)*$B$9)/12</f>
        <v>69428.822925</v>
      </c>
      <c r="D19" s="18"/>
      <c r="E19" s="125">
        <f aca="true" t="shared" si="0" ref="E19:E40">C19+D19</f>
        <v>69428.822925</v>
      </c>
      <c r="F19" s="19">
        <f>F18+C19+D19</f>
        <v>191135.461427625</v>
      </c>
      <c r="G19" s="6">
        <f>(($C$3*H19)+($C$4*J19)+($C$5*L19)+($C$6*N19))</f>
        <v>69428.822925</v>
      </c>
      <c r="H19" s="138">
        <f>((B3)*$B$9)/12</f>
        <v>2192.489145</v>
      </c>
      <c r="I19" s="20"/>
      <c r="J19" s="20">
        <f>((B4)*$B$9)/12</f>
        <v>1461.65943</v>
      </c>
      <c r="K19" s="139"/>
      <c r="L19" s="152">
        <f>((B5)*$B$9)/12</f>
        <v>1607.825373</v>
      </c>
      <c r="M19" s="153"/>
      <c r="N19" s="166">
        <f>((B6)*$B$9)/12</f>
        <v>1315.493487</v>
      </c>
      <c r="O19" s="167"/>
      <c r="P19" s="21">
        <f>E19/$F$40</f>
        <v>0.034286607313922704</v>
      </c>
      <c r="Q19" s="17" t="s">
        <v>33</v>
      </c>
      <c r="R19" s="95"/>
    </row>
    <row r="20" spans="1:18" ht="12.75">
      <c r="A20" s="17" t="s">
        <v>277</v>
      </c>
      <c r="B20" s="95"/>
      <c r="C20" s="124">
        <f>(H20*C3)+J20*C4+L20*C5+N20*C6</f>
        <v>4400</v>
      </c>
      <c r="D20" s="18"/>
      <c r="E20" s="125">
        <f t="shared" si="0"/>
        <v>4400</v>
      </c>
      <c r="F20" s="19">
        <f aca="true" t="shared" si="1" ref="F20:F34">F19+C20+D20</f>
        <v>195535.461427625</v>
      </c>
      <c r="G20" s="6">
        <f>(($C$3*H20)+($C$4*J20)+($C$5*L20)+($C$6*N20))</f>
        <v>4400</v>
      </c>
      <c r="H20" s="138">
        <f>8000*B13/12</f>
        <v>160</v>
      </c>
      <c r="I20" s="20"/>
      <c r="J20" s="20">
        <f>2000*B13/12</f>
        <v>40</v>
      </c>
      <c r="K20" s="139"/>
      <c r="L20" s="152">
        <f>6000*B13/12</f>
        <v>120</v>
      </c>
      <c r="M20" s="153"/>
      <c r="N20" s="166">
        <f>5000*B13/12</f>
        <v>100</v>
      </c>
      <c r="O20" s="167"/>
      <c r="P20" s="21">
        <f>E20/$F$40</f>
        <v>0.0021728882303568148</v>
      </c>
      <c r="Q20" s="17" t="s">
        <v>34</v>
      </c>
      <c r="R20" s="95"/>
    </row>
    <row r="21" spans="1:18" ht="12.75">
      <c r="A21" s="17" t="s">
        <v>276</v>
      </c>
      <c r="B21" s="95"/>
      <c r="C21" s="124">
        <f>(D7*0.05)/12</f>
        <v>49592.016375</v>
      </c>
      <c r="D21" s="18"/>
      <c r="E21" s="125">
        <f t="shared" si="0"/>
        <v>49592.016375</v>
      </c>
      <c r="F21" s="19">
        <f t="shared" si="1"/>
        <v>245127.477802625</v>
      </c>
      <c r="G21" s="6">
        <f>(($C$3*H21)+($C$4*J21)+($C$5*L21)+($C$6*N21))</f>
        <v>49592.01637499999</v>
      </c>
      <c r="H21" s="138">
        <f>(B3*0.05)/12</f>
        <v>1566.0636749999996</v>
      </c>
      <c r="I21" s="20"/>
      <c r="J21" s="20">
        <f>(B4*0.05)/12</f>
        <v>1044.04245</v>
      </c>
      <c r="K21" s="139"/>
      <c r="L21" s="152">
        <f>(B5*0.05)/12</f>
        <v>1148.4466949999999</v>
      </c>
      <c r="M21" s="153"/>
      <c r="N21" s="166">
        <f>(B6*0.05)/12</f>
        <v>939.6382049999999</v>
      </c>
      <c r="O21" s="167"/>
      <c r="P21" s="21">
        <f>E21/$F$40</f>
        <v>0.024490433795659072</v>
      </c>
      <c r="Q21" s="17" t="str">
        <f>A21</f>
        <v>Impuestos varios</v>
      </c>
      <c r="R21" s="95"/>
    </row>
    <row r="22" spans="1:18" ht="13.5" thickBot="1">
      <c r="A22" s="26" t="s">
        <v>16</v>
      </c>
      <c r="B22" s="97"/>
      <c r="C22" s="126">
        <f>D7*(1-B12)/$B$11/12</f>
        <v>99184.03274999997</v>
      </c>
      <c r="D22" s="28"/>
      <c r="E22" s="127">
        <f t="shared" si="0"/>
        <v>99184.03274999997</v>
      </c>
      <c r="F22" s="55">
        <f t="shared" si="1"/>
        <v>344311.510552625</v>
      </c>
      <c r="G22" s="29">
        <f>(($C$3*H22)+($C$4*J22)+($C$5*L22)+($C$6*N22))</f>
        <v>99184.03274999998</v>
      </c>
      <c r="H22" s="140">
        <f>B3*(1-B12)/$B$11/12</f>
        <v>3132.1273499999993</v>
      </c>
      <c r="I22" s="111"/>
      <c r="J22" s="111">
        <f>B4*(1-B12)/$B$11/12</f>
        <v>2088.0848999999994</v>
      </c>
      <c r="K22" s="141"/>
      <c r="L22" s="154">
        <f>B5*(1-B12)/$B$11/12</f>
        <v>2296.8933899999997</v>
      </c>
      <c r="M22" s="155"/>
      <c r="N22" s="168">
        <f>B6*(1-B12)/$B$11/12</f>
        <v>1879.2764099999995</v>
      </c>
      <c r="O22" s="169"/>
      <c r="P22" s="113">
        <f>E22/$F$40</f>
        <v>0.04898086759131813</v>
      </c>
      <c r="Q22" s="26" t="s">
        <v>16</v>
      </c>
      <c r="R22" s="97"/>
    </row>
    <row r="23" spans="1:18" ht="12.75">
      <c r="A23" s="110" t="s">
        <v>35</v>
      </c>
      <c r="B23" s="94"/>
      <c r="C23" s="128"/>
      <c r="D23" s="107"/>
      <c r="E23" s="129"/>
      <c r="F23" s="108">
        <f t="shared" si="1"/>
        <v>344311.510552625</v>
      </c>
      <c r="G23" s="2"/>
      <c r="H23" s="142"/>
      <c r="I23" s="109"/>
      <c r="J23" s="109"/>
      <c r="K23" s="143"/>
      <c r="L23" s="156"/>
      <c r="M23" s="157"/>
      <c r="N23" s="170"/>
      <c r="O23" s="171"/>
      <c r="P23" s="114"/>
      <c r="Q23" s="110" t="s">
        <v>35</v>
      </c>
      <c r="R23" s="94"/>
    </row>
    <row r="24" spans="1:18" ht="12.75">
      <c r="A24" s="17" t="s">
        <v>36</v>
      </c>
      <c r="B24" s="95"/>
      <c r="C24" s="124"/>
      <c r="D24" s="18">
        <f>(C3+C5+C6)*104*B50</f>
        <v>8078.382861119999</v>
      </c>
      <c r="E24" s="125">
        <f t="shared" si="0"/>
        <v>8078.382861119999</v>
      </c>
      <c r="F24" s="19">
        <f t="shared" si="1"/>
        <v>352389.893413745</v>
      </c>
      <c r="G24" s="6">
        <f>(($C$3*I24)+($C$4*J24)+($C$5*M24)+($C$6*O24))</f>
        <v>38838.37913999999</v>
      </c>
      <c r="H24" s="138"/>
      <c r="I24" s="20">
        <f>500*B50</f>
        <v>1252.8509399999998</v>
      </c>
      <c r="J24" s="20"/>
      <c r="K24" s="139"/>
      <c r="L24" s="152"/>
      <c r="M24" s="153">
        <f>I24</f>
        <v>1252.8509399999998</v>
      </c>
      <c r="N24" s="166"/>
      <c r="O24" s="167">
        <f>M24</f>
        <v>1252.8509399999998</v>
      </c>
      <c r="P24" s="21">
        <f aca="true" t="shared" si="2" ref="P24:P30">E24/$F$40</f>
        <v>0.003989414327100876</v>
      </c>
      <c r="Q24" s="17" t="s">
        <v>36</v>
      </c>
      <c r="R24" s="95"/>
    </row>
    <row r="25" spans="1:18" ht="12.75">
      <c r="A25" s="17" t="s">
        <v>37</v>
      </c>
      <c r="B25" s="95"/>
      <c r="C25" s="124"/>
      <c r="D25" s="18">
        <f>(((C3*I3))*H3)+((C4*I4)*H4)+((C5*H5)*I5)+((C6*H6)*I6)</f>
        <v>411993.6705733732</v>
      </c>
      <c r="E25" s="125">
        <f t="shared" si="0"/>
        <v>411993.6705733732</v>
      </c>
      <c r="F25" s="19">
        <f t="shared" si="1"/>
        <v>764383.5639871182</v>
      </c>
      <c r="G25" s="6">
        <f>(($C$3*I25)+($C$4*K25)+($C$5*M25)+($C$6*O25))</f>
        <v>411993.6705733733</v>
      </c>
      <c r="H25" s="138"/>
      <c r="I25" s="20">
        <f>I3*H3</f>
        <v>14565.490615115323</v>
      </c>
      <c r="J25" s="20"/>
      <c r="K25" s="139">
        <f>I4*H4</f>
        <v>1797.8747078943748</v>
      </c>
      <c r="L25" s="152"/>
      <c r="M25" s="153">
        <f>I5*H5</f>
        <v>13953.380699670975</v>
      </c>
      <c r="N25" s="166"/>
      <c r="O25" s="167">
        <f>I6*H6</f>
        <v>9246.284502355687</v>
      </c>
      <c r="P25" s="21">
        <f t="shared" si="2"/>
        <v>0.20345822676599667</v>
      </c>
      <c r="Q25" s="17" t="s">
        <v>37</v>
      </c>
      <c r="R25" s="95"/>
    </row>
    <row r="26" spans="1:18" ht="12.75">
      <c r="A26" s="17" t="s">
        <v>38</v>
      </c>
      <c r="B26" s="95"/>
      <c r="C26" s="124"/>
      <c r="D26" s="18">
        <f>($B$53*($C$3)*$I$3/2)+($B$53*($C$5)*$I$5/2.5)+($B$53*($C$6)*$I$5/3)</f>
        <v>6575.139999999999</v>
      </c>
      <c r="E26" s="125">
        <f t="shared" si="0"/>
        <v>6575.139999999999</v>
      </c>
      <c r="F26" s="19">
        <f t="shared" si="1"/>
        <v>770958.7039871182</v>
      </c>
      <c r="G26" s="6">
        <f>(($C$3*I26)+($C$4*J26)+($C$5*M26)+($C$6*O26))</f>
        <v>6575.139999999999</v>
      </c>
      <c r="H26" s="138"/>
      <c r="I26" s="20">
        <f>+($B$53*$I$3/2)</f>
        <v>260</v>
      </c>
      <c r="J26" s="20"/>
      <c r="K26" s="139"/>
      <c r="L26" s="152"/>
      <c r="M26" s="153">
        <f>+($B$53*$I$5/2.5)</f>
        <v>202.64399999999998</v>
      </c>
      <c r="N26" s="166"/>
      <c r="O26" s="167">
        <f>+($B$53*$I$5/3)</f>
        <v>168.86999999999998</v>
      </c>
      <c r="P26" s="21">
        <f t="shared" si="2"/>
        <v>0.0032470555270337057</v>
      </c>
      <c r="Q26" s="17" t="s">
        <v>38</v>
      </c>
      <c r="R26" s="95"/>
    </row>
    <row r="27" spans="1:18" ht="12.75">
      <c r="A27" s="17" t="s">
        <v>39</v>
      </c>
      <c r="B27" s="95"/>
      <c r="C27" s="124"/>
      <c r="D27" s="18">
        <f>(C3*I27+C5*M27+C6*O27)</f>
        <v>91354.38256216799</v>
      </c>
      <c r="E27" s="125">
        <f>(C27+D27)</f>
        <v>91354.38256216799</v>
      </c>
      <c r="F27" s="19">
        <f t="shared" si="1"/>
        <v>862313.0865492861</v>
      </c>
      <c r="G27" s="6">
        <f>(($C$3*I27)+($C$4*J27)+($C$5*M27)+($C$6*O27))</f>
        <v>91354.38256216799</v>
      </c>
      <c r="H27" s="138"/>
      <c r="I27" s="20">
        <f>(30+26+8)*$K$11*B50</f>
        <v>3471.9005249279994</v>
      </c>
      <c r="J27" s="20"/>
      <c r="K27" s="139"/>
      <c r="L27" s="152"/>
      <c r="M27" s="153">
        <f>(30+15+6)*$K$11*$B$50</f>
        <v>2766.6707308019995</v>
      </c>
      <c r="N27" s="166"/>
      <c r="O27" s="167">
        <f>(30+11+6)*$K$11*$B$50</f>
        <v>2549.6769479939994</v>
      </c>
      <c r="P27" s="21">
        <f t="shared" si="2"/>
        <v>0.04511428696837469</v>
      </c>
      <c r="Q27" s="17" t="s">
        <v>39</v>
      </c>
      <c r="R27" s="95"/>
    </row>
    <row r="28" spans="1:18" ht="12.75">
      <c r="A28" s="17" t="s">
        <v>40</v>
      </c>
      <c r="B28" s="95"/>
      <c r="C28" s="124"/>
      <c r="D28" s="18">
        <f>I28*C3+M28*C5+O28*C6</f>
        <v>188348.75</v>
      </c>
      <c r="E28" s="125">
        <f>(C28+D28)</f>
        <v>188348.75</v>
      </c>
      <c r="F28" s="19">
        <f t="shared" si="1"/>
        <v>1050661.8365492863</v>
      </c>
      <c r="G28" s="6">
        <f>(($C$3*(H28+I28))+($C$4*(J28+K28))+($C$5*(L28+M28))+($C$6*(N28+O28)))</f>
        <v>188348.75</v>
      </c>
      <c r="H28" s="138"/>
      <c r="I28" s="20">
        <f>5*K13</f>
        <v>7107.5</v>
      </c>
      <c r="J28" s="20"/>
      <c r="K28" s="139"/>
      <c r="L28" s="152"/>
      <c r="M28" s="153">
        <f>4.25*K13</f>
        <v>6041.375</v>
      </c>
      <c r="N28" s="166"/>
      <c r="O28" s="167">
        <f>3.5*K13</f>
        <v>4975.25</v>
      </c>
      <c r="P28" s="21">
        <f t="shared" si="2"/>
        <v>0.09301381410850411</v>
      </c>
      <c r="Q28" s="17" t="s">
        <v>40</v>
      </c>
      <c r="R28" s="95"/>
    </row>
    <row r="29" spans="1:18" ht="12.75">
      <c r="A29" s="17" t="s">
        <v>243</v>
      </c>
      <c r="B29" s="95"/>
      <c r="C29" s="124">
        <f>H29*$C$3+J29*$C$4+L29*$C$5+N29*$C$6</f>
        <v>15248.81818181818</v>
      </c>
      <c r="D29" s="18">
        <f>I29*$C$3+K29*$C$4+M29*$C$5+O29*$C$6</f>
        <v>0</v>
      </c>
      <c r="E29" s="125">
        <f>(C29+D29)</f>
        <v>15248.81818181818</v>
      </c>
      <c r="F29" s="19">
        <f t="shared" si="1"/>
        <v>1065910.6547311044</v>
      </c>
      <c r="G29" s="6">
        <f>(($C$3*(H29+I29))+($C$4*(J29+K29))+($C$5*(L29+M29))+($C$6*(N29+O29)))</f>
        <v>15248.81818181818</v>
      </c>
      <c r="H29" s="138">
        <f>((85000)/192500)*$K$13</f>
        <v>627.6753246753246</v>
      </c>
      <c r="I29" s="20">
        <v>0</v>
      </c>
      <c r="J29" s="20">
        <f>((30000)/192500)*$K$13</f>
        <v>221.53246753246754</v>
      </c>
      <c r="K29" s="139">
        <v>0</v>
      </c>
      <c r="L29" s="152">
        <f>((50000)/192500)*$K$13</f>
        <v>369.2207792207792</v>
      </c>
      <c r="M29" s="153">
        <v>0</v>
      </c>
      <c r="N29" s="166">
        <f>((30000)/192500)*$K$13</f>
        <v>221.53246753246754</v>
      </c>
      <c r="O29" s="167">
        <v>0</v>
      </c>
      <c r="P29" s="21">
        <f t="shared" si="2"/>
        <v>0.007530449444119029</v>
      </c>
      <c r="Q29" s="17" t="s">
        <v>243</v>
      </c>
      <c r="R29" s="95"/>
    </row>
    <row r="30" spans="1:18" ht="13.5" thickBot="1">
      <c r="A30" s="26" t="s">
        <v>242</v>
      </c>
      <c r="B30" s="97"/>
      <c r="C30" s="126">
        <f>SUM(C28:C29)*$K$10</f>
        <v>21348.34545454545</v>
      </c>
      <c r="D30" s="28">
        <f>SUM(D28:D29)*$K$10</f>
        <v>263688.25</v>
      </c>
      <c r="E30" s="127">
        <f>(C30+D30)</f>
        <v>285036.59545454546</v>
      </c>
      <c r="F30" s="55">
        <f t="shared" si="1"/>
        <v>1350947.2501856498</v>
      </c>
      <c r="G30" s="29">
        <f>(($C$3*(H30+I30))+($C$4*(J30+K30))+($C$5*(L30+M30))+($C$6*(N30+O30)))</f>
        <v>285036.59545454546</v>
      </c>
      <c r="H30" s="140">
        <f aca="true" t="shared" si="3" ref="H30:O30">(H28+H29)*$K$10</f>
        <v>878.7454545454544</v>
      </c>
      <c r="I30" s="111">
        <f t="shared" si="3"/>
        <v>9950.5</v>
      </c>
      <c r="J30" s="111">
        <f t="shared" si="3"/>
        <v>310.1454545454545</v>
      </c>
      <c r="K30" s="141">
        <f t="shared" si="3"/>
        <v>0</v>
      </c>
      <c r="L30" s="154">
        <f t="shared" si="3"/>
        <v>516.9090909090909</v>
      </c>
      <c r="M30" s="155">
        <f t="shared" si="3"/>
        <v>8457.925</v>
      </c>
      <c r="N30" s="168">
        <f t="shared" si="3"/>
        <v>310.1454545454545</v>
      </c>
      <c r="O30" s="169">
        <f t="shared" si="3"/>
        <v>6965.349999999999</v>
      </c>
      <c r="P30" s="113">
        <f t="shared" si="2"/>
        <v>0.1407619689736724</v>
      </c>
      <c r="Q30" s="26" t="s">
        <v>242</v>
      </c>
      <c r="R30" s="97"/>
    </row>
    <row r="31" spans="1:18" ht="12.75">
      <c r="A31" s="110" t="s">
        <v>41</v>
      </c>
      <c r="B31" s="94"/>
      <c r="C31" s="128"/>
      <c r="D31" s="107"/>
      <c r="E31" s="129"/>
      <c r="F31" s="108"/>
      <c r="G31" s="2"/>
      <c r="H31" s="142"/>
      <c r="I31" s="109"/>
      <c r="J31" s="109"/>
      <c r="K31" s="143"/>
      <c r="L31" s="156"/>
      <c r="M31" s="157"/>
      <c r="N31" s="170"/>
      <c r="O31" s="171"/>
      <c r="P31" s="114"/>
      <c r="Q31" s="110" t="s">
        <v>41</v>
      </c>
      <c r="R31" s="94"/>
    </row>
    <row r="32" spans="1:18" ht="12.75">
      <c r="A32" s="17" t="s">
        <v>42</v>
      </c>
      <c r="B32" s="95"/>
      <c r="C32" s="124">
        <f>(H32*$C$3+J32*$C$4+L32*$C$5+N32*$C$6)</f>
        <v>105301.76623376622</v>
      </c>
      <c r="D32" s="18"/>
      <c r="E32" s="125">
        <f t="shared" si="0"/>
        <v>105301.76623376622</v>
      </c>
      <c r="F32" s="19">
        <f>F30+C32+D32</f>
        <v>1456249.016419416</v>
      </c>
      <c r="G32" s="6">
        <f>(($C$3*(H32+I32))+($C$4*(J32+K32))+($C$5*(L32+M32))+($C$6*(N32+O32)))</f>
        <v>105301.76623376622</v>
      </c>
      <c r="H32" s="138">
        <f>((140000+200000+70000+100000)/192500)*$K$13</f>
        <v>3766.051948051948</v>
      </c>
      <c r="I32" s="20"/>
      <c r="J32" s="20">
        <f>((50000+75000+25000+100000)/192500)*$K$13</f>
        <v>1846.103896103896</v>
      </c>
      <c r="K32" s="139"/>
      <c r="L32" s="152">
        <f>((80000+120000+40000+100000)/192500)*$K$13</f>
        <v>2510.7012987012986</v>
      </c>
      <c r="M32" s="153"/>
      <c r="N32" s="166">
        <f>((50000+75000+25000+100000)/192500)*$K$13</f>
        <v>1846.103896103896</v>
      </c>
      <c r="O32" s="167"/>
      <c r="P32" s="21">
        <f>G32/$F$40</f>
        <v>0.0520020382920762</v>
      </c>
      <c r="Q32" s="17" t="s">
        <v>42</v>
      </c>
      <c r="R32" s="95"/>
    </row>
    <row r="33" spans="1:18" ht="12.75">
      <c r="A33" s="17" t="s">
        <v>43</v>
      </c>
      <c r="B33" s="95"/>
      <c r="C33" s="124">
        <f>C32*K10</f>
        <v>147422.4727272727</v>
      </c>
      <c r="D33" s="18">
        <f>(D32)*K10</f>
        <v>0</v>
      </c>
      <c r="E33" s="125">
        <f t="shared" si="0"/>
        <v>147422.4727272727</v>
      </c>
      <c r="F33" s="19">
        <f>F32+C33+D33</f>
        <v>1603671.4891466887</v>
      </c>
      <c r="G33" s="6">
        <f>(($C$3*(H33+I33))+($C$4*(J33+K33))+($C$5*(L33+M33))+($C$6*(N33+O33)))</f>
        <v>147422.4727272727</v>
      </c>
      <c r="H33" s="138">
        <f aca="true" t="shared" si="4" ref="H33:O33">(H32)*$K$10</f>
        <v>5272.472727272727</v>
      </c>
      <c r="I33" s="20">
        <f t="shared" si="4"/>
        <v>0</v>
      </c>
      <c r="J33" s="20">
        <f t="shared" si="4"/>
        <v>2584.545454545454</v>
      </c>
      <c r="K33" s="139">
        <f t="shared" si="4"/>
        <v>0</v>
      </c>
      <c r="L33" s="152">
        <f t="shared" si="4"/>
        <v>3514.9818181818177</v>
      </c>
      <c r="M33" s="153">
        <f t="shared" si="4"/>
        <v>0</v>
      </c>
      <c r="N33" s="166">
        <f t="shared" si="4"/>
        <v>2584.545454545454</v>
      </c>
      <c r="O33" s="167">
        <f t="shared" si="4"/>
        <v>0</v>
      </c>
      <c r="P33" s="21">
        <f>E33/$F$40</f>
        <v>0.07280285360890666</v>
      </c>
      <c r="Q33" s="17" t="s">
        <v>43</v>
      </c>
      <c r="R33" s="95"/>
    </row>
    <row r="34" spans="1:18" ht="12.75">
      <c r="A34" s="17" t="s">
        <v>44</v>
      </c>
      <c r="B34" s="95"/>
      <c r="C34" s="124">
        <f>(H34*$C$3+J34*$C$4+L34*$C$5+N34*$C$6)</f>
        <v>83790.67086719998</v>
      </c>
      <c r="D34" s="18"/>
      <c r="E34" s="125">
        <f t="shared" si="0"/>
        <v>83790.67086719998</v>
      </c>
      <c r="F34" s="19">
        <f t="shared" si="1"/>
        <v>1687462.1600138887</v>
      </c>
      <c r="G34" s="6">
        <f>(($C$3*H34)+($C$4*J34)+($C$5*L34)+($C$6*N34))</f>
        <v>83790.67086719998</v>
      </c>
      <c r="H34" s="138">
        <f>1280*B50</f>
        <v>3207.2984063999997</v>
      </c>
      <c r="I34" s="20">
        <v>0</v>
      </c>
      <c r="J34" s="20">
        <f>160*B50</f>
        <v>400.91230079999997</v>
      </c>
      <c r="K34" s="139">
        <v>0</v>
      </c>
      <c r="L34" s="152">
        <f>960*B50</f>
        <v>2405.4738048</v>
      </c>
      <c r="M34" s="153">
        <v>0</v>
      </c>
      <c r="N34" s="166">
        <f>800*B50</f>
        <v>2004.5615039999998</v>
      </c>
      <c r="O34" s="167"/>
      <c r="P34" s="21">
        <f>E34/$F$40</f>
        <v>0.041379036941145565</v>
      </c>
      <c r="Q34" s="17" t="s">
        <v>44</v>
      </c>
      <c r="R34" s="95"/>
    </row>
    <row r="35" spans="1:18" ht="13.5" thickBot="1">
      <c r="A35" s="26"/>
      <c r="B35" s="97"/>
      <c r="C35" s="126"/>
      <c r="D35" s="28"/>
      <c r="E35" s="127"/>
      <c r="F35" s="55"/>
      <c r="G35" s="29"/>
      <c r="H35" s="140"/>
      <c r="I35" s="111"/>
      <c r="J35" s="111"/>
      <c r="K35" s="141"/>
      <c r="L35" s="154"/>
      <c r="M35" s="155"/>
      <c r="N35" s="168"/>
      <c r="O35" s="169"/>
      <c r="P35" s="113"/>
      <c r="Q35" s="26"/>
      <c r="R35" s="97"/>
    </row>
    <row r="36" spans="1:24" s="24" customFormat="1" ht="12.75">
      <c r="A36" s="16" t="s">
        <v>45</v>
      </c>
      <c r="B36" s="96"/>
      <c r="C36" s="130">
        <f>SUM(C18:C32)+C33+C34</f>
        <v>717423.5840172275</v>
      </c>
      <c r="D36" s="19">
        <f>SUM(D18:D34)</f>
        <v>970038.5759966612</v>
      </c>
      <c r="E36" s="125">
        <f t="shared" si="0"/>
        <v>1687462.1600138887</v>
      </c>
      <c r="F36" s="19">
        <f>C36+D36</f>
        <v>1687462.1600138887</v>
      </c>
      <c r="G36" s="22">
        <f>(($C$3*(H36+I36))+($C$4*(J36+K36))+($C$5*(L36+M36))+($C$6*(N36+O36)))</f>
        <v>1718222.156292769</v>
      </c>
      <c r="H36" s="144">
        <f aca="true" t="shared" si="5" ref="H36:O36">SUM(H18:H32)+H33+H34</f>
        <v>25703.972503980458</v>
      </c>
      <c r="I36" s="23">
        <f t="shared" si="5"/>
        <v>36608.24208004332</v>
      </c>
      <c r="J36" s="23">
        <f t="shared" si="5"/>
        <v>11570.607134167267</v>
      </c>
      <c r="K36" s="145">
        <f t="shared" si="5"/>
        <v>1797.8747078943748</v>
      </c>
      <c r="L36" s="158">
        <f t="shared" si="5"/>
        <v>17572.04794523299</v>
      </c>
      <c r="M36" s="159">
        <f t="shared" si="5"/>
        <v>32674.846370472977</v>
      </c>
      <c r="N36" s="172">
        <f t="shared" si="5"/>
        <v>13168.272854527268</v>
      </c>
      <c r="O36" s="173">
        <f t="shared" si="5"/>
        <v>25158.282390349686</v>
      </c>
      <c r="P36" s="21"/>
      <c r="Q36" s="16" t="s">
        <v>45</v>
      </c>
      <c r="R36" s="96"/>
      <c r="T36" s="4"/>
      <c r="W36" s="4"/>
      <c r="X36" s="4"/>
    </row>
    <row r="37" spans="1:18" ht="12.75">
      <c r="A37" s="17"/>
      <c r="B37" s="95"/>
      <c r="C37" s="124"/>
      <c r="D37" s="18"/>
      <c r="E37" s="125"/>
      <c r="F37" s="19"/>
      <c r="G37" s="6"/>
      <c r="H37" s="138"/>
      <c r="I37" s="20"/>
      <c r="J37" s="20"/>
      <c r="K37" s="139"/>
      <c r="L37" s="152"/>
      <c r="M37" s="153"/>
      <c r="N37" s="166"/>
      <c r="O37" s="167"/>
      <c r="P37" s="21"/>
      <c r="Q37" s="17"/>
      <c r="R37" s="95"/>
    </row>
    <row r="38" spans="1:18" ht="12.75">
      <c r="A38" s="17" t="s">
        <v>46</v>
      </c>
      <c r="B38" s="117">
        <v>0.2</v>
      </c>
      <c r="C38" s="124">
        <f>C36*($B$38)</f>
        <v>143484.7168034455</v>
      </c>
      <c r="D38" s="18">
        <f>D36*($B$38)</f>
        <v>194007.71519933225</v>
      </c>
      <c r="E38" s="125">
        <f t="shared" si="0"/>
        <v>337492.43200277776</v>
      </c>
      <c r="F38" s="19">
        <f>F36*($B$38)</f>
        <v>337492.43200277776</v>
      </c>
      <c r="G38" s="6">
        <f>(($C$3*(H38+I38))+($C$4*(J38+K38))+($C$5*(L38+M38))+($C$6*(N38+O38)))</f>
        <v>343644.43125855376</v>
      </c>
      <c r="H38" s="138">
        <f aca="true" t="shared" si="6" ref="H38:O38">H36*($B$38)</f>
        <v>5140.794500796092</v>
      </c>
      <c r="I38" s="20">
        <f t="shared" si="6"/>
        <v>7321.648416008664</v>
      </c>
      <c r="J38" s="20">
        <f t="shared" si="6"/>
        <v>2314.1214268334534</v>
      </c>
      <c r="K38" s="139">
        <f t="shared" si="6"/>
        <v>359.574941578875</v>
      </c>
      <c r="L38" s="152">
        <f t="shared" si="6"/>
        <v>3514.409589046598</v>
      </c>
      <c r="M38" s="153">
        <f t="shared" si="6"/>
        <v>6534.969274094596</v>
      </c>
      <c r="N38" s="166">
        <f t="shared" si="6"/>
        <v>2633.6545709054535</v>
      </c>
      <c r="O38" s="167">
        <f t="shared" si="6"/>
        <v>5031.656478069937</v>
      </c>
      <c r="P38" s="21">
        <f>F38/$F$40</f>
        <v>0.16666666666666669</v>
      </c>
      <c r="Q38" s="17" t="s">
        <v>46</v>
      </c>
      <c r="R38" s="95"/>
    </row>
    <row r="39" spans="1:18" ht="12.75">
      <c r="A39" s="17"/>
      <c r="B39" s="95"/>
      <c r="C39" s="131">
        <f>C40/F40</f>
        <v>0.425149435061301</v>
      </c>
      <c r="D39" s="25">
        <f>D40/F40</f>
        <v>0.574850564938699</v>
      </c>
      <c r="E39" s="125"/>
      <c r="F39" s="19"/>
      <c r="G39" s="6"/>
      <c r="H39" s="138"/>
      <c r="I39" s="20"/>
      <c r="J39" s="20"/>
      <c r="K39" s="139"/>
      <c r="L39" s="152"/>
      <c r="M39" s="153"/>
      <c r="N39" s="166"/>
      <c r="O39" s="167"/>
      <c r="P39" s="21"/>
      <c r="Q39" s="17"/>
      <c r="R39" s="95"/>
    </row>
    <row r="40" spans="1:24" s="24" customFormat="1" ht="13.5" thickBot="1">
      <c r="A40" s="118" t="s">
        <v>47</v>
      </c>
      <c r="B40" s="119"/>
      <c r="C40" s="132">
        <f>C36+C38</f>
        <v>860908.300820673</v>
      </c>
      <c r="D40" s="55">
        <f>D36+D38</f>
        <v>1164046.2911959935</v>
      </c>
      <c r="E40" s="133">
        <f t="shared" si="0"/>
        <v>2024954.5920166667</v>
      </c>
      <c r="F40" s="19">
        <f>F36+F38</f>
        <v>2024954.5920166664</v>
      </c>
      <c r="G40" s="22">
        <f>(($C$3*(H40+I40))+($C$4*(J40+K40))+($C$5*(L40+M40))+($C$6*(N40+O40)))</f>
        <v>2061866.5875513228</v>
      </c>
      <c r="H40" s="144">
        <f>H36+H38</f>
        <v>30844.76700477655</v>
      </c>
      <c r="I40" s="23">
        <f aca="true" t="shared" si="7" ref="I40:O40">I36+I38</f>
        <v>43929.89049605198</v>
      </c>
      <c r="J40" s="23">
        <f t="shared" si="7"/>
        <v>13884.72856100072</v>
      </c>
      <c r="K40" s="145">
        <f t="shared" si="7"/>
        <v>2157.44964947325</v>
      </c>
      <c r="L40" s="158">
        <f t="shared" si="7"/>
        <v>21086.457534279587</v>
      </c>
      <c r="M40" s="159">
        <f t="shared" si="7"/>
        <v>39209.81564456757</v>
      </c>
      <c r="N40" s="172">
        <f t="shared" si="7"/>
        <v>15801.927425432721</v>
      </c>
      <c r="O40" s="173">
        <f t="shared" si="7"/>
        <v>30189.938868419624</v>
      </c>
      <c r="P40" s="21">
        <f>SUM(P18:P32)+P33+P34+P38</f>
        <v>1</v>
      </c>
      <c r="Q40" s="16" t="s">
        <v>47</v>
      </c>
      <c r="R40" s="96"/>
      <c r="T40" s="4"/>
      <c r="W40" s="4"/>
      <c r="X40" s="4"/>
    </row>
    <row r="41" spans="1:18" ht="12.75">
      <c r="A41" s="104"/>
      <c r="B41" s="105"/>
      <c r="C41" s="106"/>
      <c r="D41" s="106"/>
      <c r="E41" s="107"/>
      <c r="F41" s="108"/>
      <c r="G41" s="2"/>
      <c r="H41" s="142" t="s">
        <v>48</v>
      </c>
      <c r="I41" s="109" t="s">
        <v>49</v>
      </c>
      <c r="J41" s="109" t="s">
        <v>48</v>
      </c>
      <c r="K41" s="143" t="s">
        <v>49</v>
      </c>
      <c r="L41" s="156" t="s">
        <v>48</v>
      </c>
      <c r="M41" s="157" t="s">
        <v>49</v>
      </c>
      <c r="N41" s="170" t="s">
        <v>48</v>
      </c>
      <c r="O41" s="171" t="s">
        <v>49</v>
      </c>
      <c r="P41" s="3"/>
      <c r="Q41" s="104"/>
      <c r="R41" s="94"/>
    </row>
    <row r="42" spans="1:18" ht="13.5" thickBot="1">
      <c r="A42" s="26"/>
      <c r="B42" s="27"/>
      <c r="C42" s="28"/>
      <c r="D42" s="28"/>
      <c r="E42" s="28"/>
      <c r="F42" s="55"/>
      <c r="G42" s="29"/>
      <c r="H42" s="146">
        <f>H40/K11</f>
        <v>1424.7005544931433</v>
      </c>
      <c r="I42" s="30">
        <f>I40/I3</f>
        <v>4.392989049605198</v>
      </c>
      <c r="J42" s="30">
        <f>J40/K11</f>
        <v>641.32695431874</v>
      </c>
      <c r="K42" s="147">
        <f>K40/I4</f>
        <v>0.21574496494732498</v>
      </c>
      <c r="L42" s="160">
        <f>L40/K11</f>
        <v>973.9703249089879</v>
      </c>
      <c r="M42" s="161">
        <f>M40/I5</f>
        <v>4.024615411297672</v>
      </c>
      <c r="N42" s="174">
        <f>N40/K11</f>
        <v>729.8811743848833</v>
      </c>
      <c r="O42" s="175">
        <f>O40/I6</f>
        <v>3.87348458665892</v>
      </c>
      <c r="P42" s="31"/>
      <c r="Q42" s="26"/>
      <c r="R42" s="97"/>
    </row>
    <row r="43" spans="1:22" ht="13.5" thickBot="1">
      <c r="A43" s="33"/>
      <c r="B43" s="33"/>
      <c r="C43" s="33"/>
      <c r="D43" s="33"/>
      <c r="E43" s="33"/>
      <c r="F43" s="56"/>
      <c r="G43" s="33"/>
      <c r="H43" s="33"/>
      <c r="I43" s="33"/>
      <c r="J43" s="33"/>
      <c r="K43" s="33"/>
      <c r="L43" s="33"/>
      <c r="M43" s="33"/>
      <c r="N43" s="33"/>
      <c r="O43" s="33"/>
      <c r="Q43" s="33"/>
      <c r="R43" s="33"/>
      <c r="S43" s="33"/>
      <c r="U43" s="33"/>
      <c r="V43" s="33"/>
    </row>
    <row r="44" spans="1:22" ht="13.5" thickBot="1">
      <c r="A44" s="186"/>
      <c r="B44" s="187" t="s">
        <v>0</v>
      </c>
      <c r="C44" s="188"/>
      <c r="D44" s="188"/>
      <c r="E44" s="188"/>
      <c r="F44" s="187"/>
      <c r="G44" s="188"/>
      <c r="H44" s="187" t="s">
        <v>1</v>
      </c>
      <c r="I44" s="187"/>
      <c r="J44" s="189"/>
      <c r="K44" s="33"/>
      <c r="L44" s="33"/>
      <c r="M44" s="33"/>
      <c r="N44" s="33"/>
      <c r="O44" s="33"/>
      <c r="Q44" s="33"/>
      <c r="R44" s="33"/>
      <c r="S44" s="33"/>
      <c r="U44" s="33"/>
      <c r="V44" s="33"/>
    </row>
    <row r="45" spans="1:22" ht="13.5" thickBot="1">
      <c r="A45" s="186" t="s">
        <v>3</v>
      </c>
      <c r="B45" s="197">
        <f>($H$40+$J$40)/K11</f>
        <v>2066.0275088118833</v>
      </c>
      <c r="C45" s="188"/>
      <c r="D45" s="188"/>
      <c r="E45" s="188"/>
      <c r="F45" s="187"/>
      <c r="G45" s="188"/>
      <c r="H45" s="197">
        <f>I42+K42</f>
        <v>4.608734014552523</v>
      </c>
      <c r="I45" s="197"/>
      <c r="J45" s="199">
        <f>(B45*K11/I3)+H45</f>
        <v>9.08168357113025</v>
      </c>
      <c r="K45" s="34">
        <f>B45*K11+I3*H45</f>
        <v>90816.8357113025</v>
      </c>
      <c r="L45" s="34">
        <f>K45/21</f>
        <v>4324.611224347738</v>
      </c>
      <c r="M45" s="77">
        <f>(K45/37876885)-1</f>
        <v>-0.9976023150871224</v>
      </c>
      <c r="O45" s="34">
        <f>B45*21</f>
        <v>43386.577685049546</v>
      </c>
      <c r="Q45" s="21">
        <f>(+J45/4795)-1</f>
        <v>-0.9981060096827674</v>
      </c>
      <c r="R45" s="33"/>
      <c r="S45" s="33"/>
      <c r="U45" s="33"/>
      <c r="V45" s="33"/>
    </row>
    <row r="46" spans="1:22" ht="13.5" thickBot="1">
      <c r="A46" s="186" t="s">
        <v>292</v>
      </c>
      <c r="B46" s="197">
        <f>($L$40)/K11</f>
        <v>973.9703249089879</v>
      </c>
      <c r="C46" s="188"/>
      <c r="D46" s="188"/>
      <c r="E46" s="188"/>
      <c r="F46" s="187"/>
      <c r="G46" s="188"/>
      <c r="H46" s="197">
        <f>M42</f>
        <v>4.024615411297672</v>
      </c>
      <c r="I46" s="200"/>
      <c r="J46" s="199">
        <f>(B46*K11/I5)+H46</f>
        <v>6.188993911095423</v>
      </c>
      <c r="K46" s="34">
        <f>B46*21+H46*I5</f>
        <v>59663.19246765632</v>
      </c>
      <c r="L46" s="34">
        <f>K46/21</f>
        <v>2841.1044032217296</v>
      </c>
      <c r="M46" s="77">
        <f>(K46/22067430)-1</f>
        <v>-0.9972963234745661</v>
      </c>
      <c r="N46" s="33"/>
      <c r="O46" s="34">
        <f>H45*10000</f>
        <v>46087.34014552523</v>
      </c>
      <c r="Q46" s="21">
        <f>(+J46/4088)-1</f>
        <v>-0.9984860582409257</v>
      </c>
      <c r="R46" s="33"/>
      <c r="S46" s="33"/>
      <c r="U46" s="33"/>
      <c r="V46" s="33"/>
    </row>
    <row r="47" spans="1:22" ht="13.5" thickBot="1">
      <c r="A47" s="184" t="s">
        <v>291</v>
      </c>
      <c r="B47" s="198">
        <f>($N$40)/K11</f>
        <v>729.8811743848833</v>
      </c>
      <c r="C47" s="112"/>
      <c r="D47" s="112"/>
      <c r="E47" s="112"/>
      <c r="F47" s="185"/>
      <c r="G47" s="112"/>
      <c r="H47" s="198">
        <f>O42</f>
        <v>3.87348458665892</v>
      </c>
      <c r="I47" s="192"/>
      <c r="J47" s="199">
        <f>(B47*K11/I6)+H47</f>
        <v>5.900932293283596</v>
      </c>
      <c r="K47" s="34">
        <f>B47*21+H47*I6</f>
        <v>45517.443530502176</v>
      </c>
      <c r="L47" s="34">
        <f>K47/21</f>
        <v>2167.497310976294</v>
      </c>
      <c r="M47" s="77">
        <f>(K47/16656803)-1</f>
        <v>-0.9972673361430461</v>
      </c>
      <c r="N47" s="33"/>
      <c r="O47" s="33"/>
      <c r="Q47" s="21">
        <f>(+J47/3096)-1</f>
        <v>-0.9980940141171565</v>
      </c>
      <c r="R47" s="33"/>
      <c r="S47" s="33"/>
      <c r="U47" s="33"/>
      <c r="V47" s="33"/>
    </row>
    <row r="48" spans="1:24" s="76" customFormat="1" ht="13.5" thickBot="1">
      <c r="A48" s="176"/>
      <c r="B48" s="176"/>
      <c r="F48" s="177"/>
      <c r="G48" s="34"/>
      <c r="H48" s="176"/>
      <c r="I48" s="178"/>
      <c r="J48" s="178"/>
      <c r="K48" s="178"/>
      <c r="L48" s="178"/>
      <c r="M48" s="178"/>
      <c r="N48" s="178"/>
      <c r="O48" s="178"/>
      <c r="P48" s="179"/>
      <c r="Q48" s="178"/>
      <c r="R48" s="178"/>
      <c r="S48" s="178"/>
      <c r="U48" s="178"/>
      <c r="V48" s="178"/>
      <c r="W48" s="4"/>
      <c r="X48" s="4"/>
    </row>
    <row r="49" spans="1:22" ht="13.5" thickBot="1">
      <c r="A49" s="85" t="s">
        <v>6</v>
      </c>
      <c r="B49" s="83"/>
      <c r="C49" s="83"/>
      <c r="D49" s="83"/>
      <c r="E49" s="83"/>
      <c r="F49" s="82"/>
      <c r="G49" s="190">
        <f>F49/164215675</f>
        <v>0</v>
      </c>
      <c r="H49" s="83"/>
      <c r="I49" s="83"/>
      <c r="J49" s="87"/>
      <c r="K49" s="33"/>
      <c r="L49" s="33"/>
      <c r="M49" s="33"/>
      <c r="N49" s="33"/>
      <c r="O49" s="33"/>
      <c r="Q49" s="33"/>
      <c r="R49" s="33"/>
      <c r="S49" s="33"/>
      <c r="U49" s="33"/>
      <c r="V49" s="33"/>
    </row>
    <row r="50" spans="1:22" ht="12.75">
      <c r="A50" s="5" t="s">
        <v>8</v>
      </c>
      <c r="B50" s="9">
        <f>1.38*B14</f>
        <v>2.5057018799999997</v>
      </c>
      <c r="C50" s="6"/>
      <c r="D50" s="6"/>
      <c r="E50" s="6"/>
      <c r="F50" s="22">
        <f>E18+E19+E20+E21+E22+E24+E27+E34+F38</f>
        <v>865027.3788458908</v>
      </c>
      <c r="G50" s="6"/>
      <c r="H50" s="6"/>
      <c r="I50" s="13">
        <f>(F50+F49)/F55</f>
        <v>0.4271835932796913</v>
      </c>
      <c r="J50" s="180"/>
      <c r="L50" s="33"/>
      <c r="M50" s="33"/>
      <c r="N50" s="33"/>
      <c r="O50" s="33"/>
      <c r="Q50" s="33"/>
      <c r="R50" s="33"/>
      <c r="S50" s="33"/>
      <c r="U50" s="33"/>
      <c r="V50" s="33"/>
    </row>
    <row r="51" spans="1:22" ht="12.75">
      <c r="A51" s="5" t="s">
        <v>10</v>
      </c>
      <c r="B51" s="194">
        <v>4.3</v>
      </c>
      <c r="C51" s="6"/>
      <c r="D51" s="6"/>
      <c r="E51" s="6"/>
      <c r="F51" s="22">
        <f>E25</f>
        <v>411993.6705733732</v>
      </c>
      <c r="G51" s="6"/>
      <c r="H51" s="6"/>
      <c r="I51" s="13">
        <f>F51/F55</f>
        <v>0.2034582267659967</v>
      </c>
      <c r="J51" s="180"/>
      <c r="L51" s="33"/>
      <c r="M51" s="33"/>
      <c r="N51" s="33"/>
      <c r="O51" s="33"/>
      <c r="Q51" s="33"/>
      <c r="R51" s="33"/>
      <c r="S51" s="33"/>
      <c r="U51" s="33"/>
      <c r="V51" s="33"/>
    </row>
    <row r="52" spans="1:22" ht="12.75">
      <c r="A52" s="5" t="str">
        <f>I13</f>
        <v>Salario min actual</v>
      </c>
      <c r="B52" s="6">
        <f>K13</f>
        <v>1421.5</v>
      </c>
      <c r="C52" s="6"/>
      <c r="D52" s="6"/>
      <c r="E52" s="6"/>
      <c r="F52" s="22">
        <f>E32+E28+E33+E29+E30</f>
        <v>741358.4025974025</v>
      </c>
      <c r="G52" s="6"/>
      <c r="H52" s="6"/>
      <c r="I52" s="13">
        <f>F52/F55</f>
        <v>0.3661111244272784</v>
      </c>
      <c r="J52" s="180"/>
      <c r="K52" s="33"/>
      <c r="L52" s="33"/>
      <c r="M52" s="33"/>
      <c r="N52" s="33"/>
      <c r="O52" s="33"/>
      <c r="Q52" s="33"/>
      <c r="R52" s="33"/>
      <c r="S52" s="33"/>
      <c r="U52" s="33"/>
      <c r="V52" s="33"/>
    </row>
    <row r="53" spans="1:22" ht="13.5" thickBot="1">
      <c r="A53" s="69" t="s">
        <v>15</v>
      </c>
      <c r="B53" s="181">
        <v>0.052</v>
      </c>
      <c r="C53" s="29"/>
      <c r="D53" s="29"/>
      <c r="E53" s="29"/>
      <c r="F53" s="80">
        <f>E26</f>
        <v>6575.139999999999</v>
      </c>
      <c r="G53" s="29"/>
      <c r="H53" s="29"/>
      <c r="I53" s="182">
        <f>F53/F55</f>
        <v>0.003247055527033706</v>
      </c>
      <c r="J53" s="183">
        <f>SUM(I50:I53)</f>
        <v>1</v>
      </c>
      <c r="K53" s="33"/>
      <c r="L53" s="33"/>
      <c r="M53" s="196">
        <v>40247</v>
      </c>
      <c r="N53" s="33" t="s">
        <v>300</v>
      </c>
      <c r="O53" s="33" t="s">
        <v>299</v>
      </c>
      <c r="Q53" s="33"/>
      <c r="R53" s="33" t="str">
        <f>O53</f>
        <v>julio08</v>
      </c>
      <c r="S53" s="33"/>
      <c r="U53" s="33"/>
      <c r="V53" s="33"/>
    </row>
    <row r="54" spans="1:22" ht="12.75">
      <c r="A54" s="33"/>
      <c r="B54" s="4">
        <v>102</v>
      </c>
      <c r="C54" s="33"/>
      <c r="D54" s="6"/>
      <c r="E54" s="7"/>
      <c r="F54" s="22"/>
      <c r="H54" s="12"/>
      <c r="N54" s="4" t="s">
        <v>0</v>
      </c>
      <c r="P54" s="193" t="s">
        <v>1</v>
      </c>
      <c r="S54" s="33"/>
      <c r="U54" s="33"/>
      <c r="V54" s="33"/>
    </row>
    <row r="55" spans="1:24" ht="12.75">
      <c r="A55" s="33"/>
      <c r="B55" s="33"/>
      <c r="C55" s="33"/>
      <c r="D55" s="12"/>
      <c r="E55" s="7"/>
      <c r="F55" s="22">
        <f>SUM(F49:F54)</f>
        <v>2024954.5920166662</v>
      </c>
      <c r="H55" s="57"/>
      <c r="L55" s="4" t="s">
        <v>3</v>
      </c>
      <c r="M55" s="4">
        <f>B45*1000</f>
        <v>2066027.5088118834</v>
      </c>
      <c r="N55" s="4">
        <v>1624565.1895264366</v>
      </c>
      <c r="O55" s="4">
        <v>1220071.827419604</v>
      </c>
      <c r="P55" s="4">
        <f>H45</f>
        <v>4.608734014552523</v>
      </c>
      <c r="Q55" s="193">
        <v>4030.2180240822277</v>
      </c>
      <c r="R55" s="4">
        <v>3133.5736333643063</v>
      </c>
      <c r="S55" s="4">
        <f>J45</f>
        <v>9.08168357113025</v>
      </c>
      <c r="T55" s="4">
        <v>7441.804922087745</v>
      </c>
      <c r="U55" s="4">
        <v>5695.724470945474</v>
      </c>
      <c r="V55" s="4">
        <f>K45/1000</f>
        <v>90.8168357113025</v>
      </c>
      <c r="W55" s="4">
        <f>(V55/S55)*T55</f>
        <v>74418.04922087745</v>
      </c>
      <c r="X55" s="4">
        <f>56957244.7094547/1000</f>
        <v>56957.2447094547</v>
      </c>
    </row>
    <row r="56" spans="1:24" ht="12.75">
      <c r="A56" s="33"/>
      <c r="B56" s="33"/>
      <c r="C56" s="33"/>
      <c r="D56" s="6"/>
      <c r="E56" s="6"/>
      <c r="F56" s="22"/>
      <c r="H56" s="6"/>
      <c r="L56" s="4" t="s">
        <v>292</v>
      </c>
      <c r="M56" s="4">
        <f>B46*1000</f>
        <v>973970.3249089879</v>
      </c>
      <c r="N56" s="4">
        <v>778336.4028478665</v>
      </c>
      <c r="O56" s="4">
        <v>586053.3446815088</v>
      </c>
      <c r="P56" s="4">
        <f>H46</f>
        <v>4.024615411297672</v>
      </c>
      <c r="Q56" s="193">
        <v>4011.644247613036</v>
      </c>
      <c r="R56" s="4">
        <v>3124.518013461665</v>
      </c>
      <c r="S56" s="4">
        <f>J46</f>
        <v>6.188993911095423</v>
      </c>
      <c r="T56" s="4">
        <v>6346.653456156636</v>
      </c>
      <c r="U56" s="4">
        <v>4882.678047506191</v>
      </c>
      <c r="V56" s="4">
        <f>K46/1000</f>
        <v>59.66319246765632</v>
      </c>
      <c r="W56" s="4">
        <f>(V56/S56)*T56</f>
        <v>61183.06337340833</v>
      </c>
      <c r="X56" s="4">
        <f>34178746.3325433/1000</f>
        <v>34178.7463325433</v>
      </c>
    </row>
    <row r="57" spans="1:24" ht="12.75">
      <c r="A57" s="33"/>
      <c r="B57" s="33"/>
      <c r="C57" s="33"/>
      <c r="D57" s="33"/>
      <c r="E57" s="33"/>
      <c r="F57" s="56"/>
      <c r="H57" s="33"/>
      <c r="L57" s="4" t="s">
        <v>291</v>
      </c>
      <c r="M57" s="4">
        <f>B47*1000</f>
        <v>729881.1743848833</v>
      </c>
      <c r="N57" s="4">
        <v>515878.22123562155</v>
      </c>
      <c r="O57" s="4">
        <v>389709.7474706246</v>
      </c>
      <c r="P57" s="4">
        <f>H47</f>
        <v>3.87348458665892</v>
      </c>
      <c r="Q57" s="193">
        <v>3230.5123055473214</v>
      </c>
      <c r="R57" s="4">
        <v>2522.555870281594</v>
      </c>
      <c r="S57" s="4">
        <f>J47</f>
        <v>5.900932293283596</v>
      </c>
      <c r="T57" s="4">
        <v>4778.146969254186</v>
      </c>
      <c r="U57" s="4">
        <v>3691.6851126934675</v>
      </c>
      <c r="V57" s="4">
        <f>K47/1000</f>
        <v>45.51744353050218</v>
      </c>
      <c r="W57" s="4">
        <f>(V57/S57)*T57</f>
        <v>36856.72433507028</v>
      </c>
      <c r="X57" s="4">
        <f>25841795.7888543/1000</f>
        <v>25841.795788854302</v>
      </c>
    </row>
    <row r="58" spans="1:24" ht="12.75">
      <c r="A58" s="33"/>
      <c r="B58" s="33"/>
      <c r="C58" s="33"/>
      <c r="D58" s="33"/>
      <c r="E58" s="33"/>
      <c r="F58" s="56"/>
      <c r="H58" s="56"/>
      <c r="I58" s="56"/>
      <c r="J58" s="33"/>
      <c r="K58" s="33"/>
      <c r="L58" s="33"/>
      <c r="M58" s="33"/>
      <c r="N58" s="201"/>
      <c r="O58" s="178"/>
      <c r="P58" s="179"/>
      <c r="Q58" s="201"/>
      <c r="R58" s="178"/>
      <c r="S58" s="76"/>
      <c r="T58" s="201"/>
      <c r="U58" s="178"/>
      <c r="V58" s="76"/>
      <c r="W58" s="179"/>
      <c r="X58" s="179"/>
    </row>
    <row r="59" spans="1:24" ht="12.75">
      <c r="A59" s="56" t="s">
        <v>245</v>
      </c>
      <c r="B59" s="56" t="s">
        <v>246</v>
      </c>
      <c r="H59" s="24" t="s">
        <v>249</v>
      </c>
      <c r="I59" s="56" t="s">
        <v>247</v>
      </c>
      <c r="J59" s="56" t="s">
        <v>248</v>
      </c>
      <c r="K59" s="56" t="s">
        <v>250</v>
      </c>
      <c r="L59" s="56" t="s">
        <v>251</v>
      </c>
      <c r="M59" s="56" t="s">
        <v>303</v>
      </c>
      <c r="N59" s="201"/>
      <c r="O59" s="178"/>
      <c r="P59" s="179"/>
      <c r="Q59" s="201"/>
      <c r="R59" s="178"/>
      <c r="S59" s="76"/>
      <c r="T59" s="201"/>
      <c r="U59" s="178"/>
      <c r="V59" s="76"/>
      <c r="W59" s="179"/>
      <c r="X59" s="179"/>
    </row>
    <row r="60" spans="1:24" ht="12.75">
      <c r="A60" s="56" t="s">
        <v>253</v>
      </c>
      <c r="B60" s="56">
        <v>2</v>
      </c>
      <c r="H60" s="24">
        <f>($B$45)*B60</f>
        <v>4132.055017623767</v>
      </c>
      <c r="I60" s="56">
        <v>953</v>
      </c>
      <c r="J60" s="24">
        <f>($H$45)*I60</f>
        <v>4392.123515868554</v>
      </c>
      <c r="K60" s="24">
        <f>+H60+J60</f>
        <v>8524.17853349232</v>
      </c>
      <c r="L60" s="24">
        <f>($B$46*B60)+($H$46*I60)</f>
        <v>5783.3991367846575</v>
      </c>
      <c r="M60" s="24">
        <f>($B$47*B60)+($H$47*I60)</f>
        <v>5151.193159855717</v>
      </c>
      <c r="N60" s="201"/>
      <c r="O60" s="178"/>
      <c r="P60" s="179"/>
      <c r="Q60" s="201"/>
      <c r="R60" s="178"/>
      <c r="S60" s="76"/>
      <c r="T60" s="201"/>
      <c r="U60" s="178"/>
      <c r="V60" s="76"/>
      <c r="W60" s="179"/>
      <c r="X60" s="179"/>
    </row>
    <row r="61" spans="1:24" ht="12.75">
      <c r="A61" s="56" t="s">
        <v>302</v>
      </c>
      <c r="B61" s="56">
        <v>1</v>
      </c>
      <c r="H61" s="24">
        <f>($B$45)*B61</f>
        <v>2066.0275088118833</v>
      </c>
      <c r="I61" s="56">
        <v>360</v>
      </c>
      <c r="J61" s="24">
        <f>($H$45)*I61</f>
        <v>1659.1442452389083</v>
      </c>
      <c r="K61" s="24">
        <f>+H61+J61</f>
        <v>3725.1717540507916</v>
      </c>
      <c r="L61" s="24">
        <f>($B$46*B61)+($H$46*I61)</f>
        <v>2422.83187297615</v>
      </c>
      <c r="M61" s="24">
        <f>($B$47*B61)+($H$47*I61)</f>
        <v>2124.3356255820945</v>
      </c>
      <c r="N61" s="178"/>
      <c r="O61" s="178"/>
      <c r="P61" s="179"/>
      <c r="Q61" s="178"/>
      <c r="R61" s="178"/>
      <c r="S61" s="178"/>
      <c r="T61" s="76"/>
      <c r="U61" s="178"/>
      <c r="V61" s="76"/>
      <c r="W61" s="76"/>
      <c r="X61" s="201"/>
    </row>
    <row r="62" spans="1:24" ht="12.75">
      <c r="A62" s="33"/>
      <c r="B62" s="33"/>
      <c r="C62" s="33"/>
      <c r="D62" s="33"/>
      <c r="E62" s="33"/>
      <c r="F62" s="56"/>
      <c r="G62" s="33"/>
      <c r="J62" s="33"/>
      <c r="K62" s="33"/>
      <c r="L62" s="33"/>
      <c r="M62" s="33"/>
      <c r="N62" s="178"/>
      <c r="O62" s="178"/>
      <c r="P62" s="179"/>
      <c r="Q62" s="178"/>
      <c r="R62" s="178"/>
      <c r="S62" s="178"/>
      <c r="T62" s="76"/>
      <c r="U62" s="178"/>
      <c r="V62" s="76"/>
      <c r="W62" s="76"/>
      <c r="X62" s="201"/>
    </row>
    <row r="63" spans="1:24" ht="12.75">
      <c r="A63" s="33"/>
      <c r="B63" s="33"/>
      <c r="C63" s="33"/>
      <c r="D63" s="33"/>
      <c r="E63" s="33"/>
      <c r="F63" s="56"/>
      <c r="G63" s="33"/>
      <c r="J63" s="33"/>
      <c r="K63" s="33"/>
      <c r="L63" s="33"/>
      <c r="M63" s="33"/>
      <c r="N63" s="178"/>
      <c r="O63" s="178"/>
      <c r="P63" s="179"/>
      <c r="Q63" s="178"/>
      <c r="R63" s="178"/>
      <c r="S63" s="178"/>
      <c r="T63" s="76"/>
      <c r="U63" s="178"/>
      <c r="V63" s="76"/>
      <c r="W63" s="76"/>
      <c r="X63" s="201"/>
    </row>
    <row r="64" spans="1:24" ht="12.75">
      <c r="A64" s="33"/>
      <c r="B64" s="33"/>
      <c r="C64" s="33"/>
      <c r="D64" s="33"/>
      <c r="E64" s="33"/>
      <c r="F64" s="56"/>
      <c r="G64" s="33"/>
      <c r="J64" s="33"/>
      <c r="K64" s="33"/>
      <c r="L64" s="33"/>
      <c r="M64" s="33"/>
      <c r="N64" s="178"/>
      <c r="O64" s="178"/>
      <c r="P64" s="179"/>
      <c r="Q64" s="178"/>
      <c r="R64" s="178"/>
      <c r="S64" s="178"/>
      <c r="T64" s="76"/>
      <c r="U64" s="178"/>
      <c r="V64" s="76"/>
      <c r="W64" s="76"/>
      <c r="X64" s="76"/>
    </row>
    <row r="65" spans="4:24" ht="12.75">
      <c r="D65" s="4">
        <f>B46</f>
        <v>973.9703249089879</v>
      </c>
      <c r="E65" s="4">
        <f>H46</f>
        <v>4.024615411297672</v>
      </c>
      <c r="F65" s="4" t="s">
        <v>5</v>
      </c>
      <c r="G65" s="4">
        <f>B45</f>
        <v>2066.0275088118833</v>
      </c>
      <c r="H65" s="4">
        <f>H45</f>
        <v>4.608734014552523</v>
      </c>
      <c r="I65" s="33" t="s">
        <v>279</v>
      </c>
      <c r="K65" s="33"/>
      <c r="L65" s="33"/>
      <c r="M65" s="33"/>
      <c r="N65" s="178"/>
      <c r="O65" s="178"/>
      <c r="P65" s="179"/>
      <c r="Q65" s="178"/>
      <c r="R65" s="178"/>
      <c r="S65" s="178"/>
      <c r="T65" s="76"/>
      <c r="U65" s="178"/>
      <c r="V65" s="76"/>
      <c r="W65" s="76"/>
      <c r="X65" s="76"/>
    </row>
    <row r="66" spans="1:24" ht="12.75">
      <c r="A66" s="33" t="s">
        <v>280</v>
      </c>
      <c r="B66" s="75">
        <v>2.5</v>
      </c>
      <c r="C66" s="4">
        <v>936</v>
      </c>
      <c r="D66" s="33">
        <f aca="true" t="shared" si="8" ref="D66:D71">B66*$D$65</f>
        <v>2434.9258122724696</v>
      </c>
      <c r="E66" s="33">
        <f aca="true" t="shared" si="9" ref="E66:E71">C66*$E$65</f>
        <v>3767.0400249746212</v>
      </c>
      <c r="F66" s="24">
        <f aca="true" t="shared" si="10" ref="F66:F71">D66+E66</f>
        <v>6201.965837247091</v>
      </c>
      <c r="G66" s="33">
        <f aca="true" t="shared" si="11" ref="G66:G71">B66*$G$65</f>
        <v>5165.068772029708</v>
      </c>
      <c r="H66" s="33">
        <f aca="true" t="shared" si="12" ref="H66:H71">C66*$H$65</f>
        <v>4313.775037621162</v>
      </c>
      <c r="I66" s="24">
        <f aca="true" t="shared" si="13" ref="I66:I71">G66+H66</f>
        <v>9478.843809650869</v>
      </c>
      <c r="J66" s="33"/>
      <c r="K66" s="33"/>
      <c r="L66" s="33"/>
      <c r="M66" s="33"/>
      <c r="N66" s="178"/>
      <c r="O66" s="178"/>
      <c r="P66" s="179"/>
      <c r="Q66" s="178"/>
      <c r="R66" s="178"/>
      <c r="S66" s="178"/>
      <c r="T66" s="76"/>
      <c r="U66" s="178"/>
      <c r="V66" s="76"/>
      <c r="W66" s="76"/>
      <c r="X66" s="76"/>
    </row>
    <row r="67" spans="1:24" ht="13.5" thickBot="1">
      <c r="A67" s="33" t="s">
        <v>281</v>
      </c>
      <c r="B67" s="75">
        <v>1</v>
      </c>
      <c r="C67" s="33">
        <v>316</v>
      </c>
      <c r="D67" s="33">
        <f t="shared" si="8"/>
        <v>973.9703249089879</v>
      </c>
      <c r="E67" s="33">
        <f t="shared" si="9"/>
        <v>1271.7784699700644</v>
      </c>
      <c r="F67" s="24">
        <f t="shared" si="10"/>
        <v>2245.748794879052</v>
      </c>
      <c r="G67" s="33">
        <f t="shared" si="11"/>
        <v>2066.0275088118833</v>
      </c>
      <c r="H67" s="33">
        <f t="shared" si="12"/>
        <v>1456.3599485985972</v>
      </c>
      <c r="I67" s="24">
        <f t="shared" si="13"/>
        <v>3522.3874574104802</v>
      </c>
      <c r="J67" s="33"/>
      <c r="K67" s="33"/>
      <c r="L67" s="33"/>
      <c r="M67" s="33"/>
      <c r="N67" s="178"/>
      <c r="O67" s="178"/>
      <c r="P67" s="179"/>
      <c r="Q67" s="178"/>
      <c r="R67" s="178"/>
      <c r="S67" s="178"/>
      <c r="T67" s="76"/>
      <c r="U67" s="178"/>
      <c r="V67" s="178"/>
      <c r="W67" s="76"/>
      <c r="X67" s="76"/>
    </row>
    <row r="68" spans="1:22" ht="13.5" thickBot="1">
      <c r="A68" s="33" t="s">
        <v>282</v>
      </c>
      <c r="B68" s="75">
        <v>3</v>
      </c>
      <c r="C68" s="33">
        <v>1550</v>
      </c>
      <c r="D68" s="33">
        <f t="shared" si="8"/>
        <v>2921.9109747269636</v>
      </c>
      <c r="E68" s="33">
        <f t="shared" si="9"/>
        <v>6238.153887511392</v>
      </c>
      <c r="F68" s="24">
        <f t="shared" si="10"/>
        <v>9160.064862238356</v>
      </c>
      <c r="G68" s="33">
        <f t="shared" si="11"/>
        <v>6198.08252643565</v>
      </c>
      <c r="H68" s="33">
        <f t="shared" si="12"/>
        <v>7143.537722556411</v>
      </c>
      <c r="I68" s="24">
        <f>E68+H68</f>
        <v>13381.691610067803</v>
      </c>
      <c r="J68" s="33">
        <f>C68/2</f>
        <v>775</v>
      </c>
      <c r="K68" s="33">
        <f>J68*H45</f>
        <v>3571.7688612782053</v>
      </c>
      <c r="L68" s="33">
        <f>2*B45</f>
        <v>4132.055017623767</v>
      </c>
      <c r="M68" s="187">
        <f>K68+L68</f>
        <v>7703.823878901972</v>
      </c>
      <c r="N68" s="187">
        <f>M68*1.2</f>
        <v>9244.588654682366</v>
      </c>
      <c r="O68" s="33"/>
      <c r="Q68" s="33"/>
      <c r="R68" s="33"/>
      <c r="S68" s="33"/>
      <c r="U68" s="33"/>
      <c r="V68" s="33"/>
    </row>
    <row r="69" spans="1:22" ht="12.75">
      <c r="A69" s="33" t="s">
        <v>283</v>
      </c>
      <c r="B69" s="75">
        <v>3</v>
      </c>
      <c r="C69" s="33">
        <v>1098</v>
      </c>
      <c r="D69" s="33">
        <f t="shared" si="8"/>
        <v>2921.9109747269636</v>
      </c>
      <c r="E69" s="33">
        <f t="shared" si="9"/>
        <v>4419.027721604844</v>
      </c>
      <c r="F69" s="24">
        <f t="shared" si="10"/>
        <v>7340.938696331808</v>
      </c>
      <c r="G69" s="33">
        <f t="shared" si="11"/>
        <v>6198.08252643565</v>
      </c>
      <c r="H69" s="33">
        <f t="shared" si="12"/>
        <v>5060.3899479786705</v>
      </c>
      <c r="I69" s="24">
        <f t="shared" si="13"/>
        <v>11258.47247441432</v>
      </c>
      <c r="J69" s="33">
        <f>I68*1.2</f>
        <v>16058.029932081363</v>
      </c>
      <c r="K69" s="33"/>
      <c r="L69" s="33"/>
      <c r="M69" s="33"/>
      <c r="N69" s="33"/>
      <c r="O69" s="33"/>
      <c r="Q69" s="33"/>
      <c r="R69" s="33"/>
      <c r="S69" s="33"/>
      <c r="U69" s="33"/>
      <c r="V69" s="33"/>
    </row>
    <row r="70" spans="1:22" ht="12.75">
      <c r="A70" s="33" t="s">
        <v>284</v>
      </c>
      <c r="B70" s="75">
        <v>1</v>
      </c>
      <c r="C70" s="33">
        <v>110</v>
      </c>
      <c r="D70" s="33">
        <f t="shared" si="8"/>
        <v>973.9703249089879</v>
      </c>
      <c r="E70" s="33">
        <f t="shared" si="9"/>
        <v>442.70769524274397</v>
      </c>
      <c r="F70" s="24">
        <f t="shared" si="10"/>
        <v>1416.6780201517317</v>
      </c>
      <c r="G70" s="33">
        <f t="shared" si="11"/>
        <v>2066.0275088118833</v>
      </c>
      <c r="H70" s="33">
        <f t="shared" si="12"/>
        <v>506.9607416007775</v>
      </c>
      <c r="I70" s="24">
        <f t="shared" si="13"/>
        <v>2572.988250412661</v>
      </c>
      <c r="J70" s="4">
        <f>B45</f>
        <v>2066.0275088118833</v>
      </c>
      <c r="K70" s="33">
        <f>C70*H45</f>
        <v>506.9607416007775</v>
      </c>
      <c r="L70" s="4">
        <f>J70+K70</f>
        <v>2572.988250412661</v>
      </c>
      <c r="M70" s="33"/>
      <c r="N70" s="33"/>
      <c r="O70" s="33"/>
      <c r="Q70" s="33"/>
      <c r="R70" s="33"/>
      <c r="S70" s="33"/>
      <c r="U70" s="33"/>
      <c r="V70" s="33"/>
    </row>
    <row r="71" spans="1:22" ht="12.75">
      <c r="A71" s="33" t="s">
        <v>285</v>
      </c>
      <c r="B71" s="75">
        <v>2.5</v>
      </c>
      <c r="C71" s="33">
        <v>956</v>
      </c>
      <c r="D71" s="33">
        <f t="shared" si="8"/>
        <v>2434.9258122724696</v>
      </c>
      <c r="E71" s="33">
        <f t="shared" si="9"/>
        <v>3847.5323332005746</v>
      </c>
      <c r="F71" s="24">
        <f t="shared" si="10"/>
        <v>6282.458145473044</v>
      </c>
      <c r="G71" s="33">
        <f t="shared" si="11"/>
        <v>5165.068772029708</v>
      </c>
      <c r="H71" s="33">
        <f t="shared" si="12"/>
        <v>4405.949717912212</v>
      </c>
      <c r="I71" s="24">
        <f t="shared" si="13"/>
        <v>9571.01848994192</v>
      </c>
      <c r="J71" s="33"/>
      <c r="K71" s="33"/>
      <c r="L71" s="33">
        <f>L70*1.2</f>
        <v>3087.585900495193</v>
      </c>
      <c r="M71" s="33"/>
      <c r="N71" s="33"/>
      <c r="O71" s="33"/>
      <c r="Q71" s="33"/>
      <c r="R71" s="33"/>
      <c r="S71" s="33"/>
      <c r="U71" s="33"/>
      <c r="V71" s="33"/>
    </row>
    <row r="72" spans="1:22" ht="12.75">
      <c r="A72" s="33"/>
      <c r="B72" s="75"/>
      <c r="C72" s="33"/>
      <c r="D72" s="33"/>
      <c r="E72" s="33"/>
      <c r="F72" s="56"/>
      <c r="G72" s="33"/>
      <c r="H72" s="33"/>
      <c r="I72" s="33"/>
      <c r="J72" s="33"/>
      <c r="K72" s="33"/>
      <c r="L72" s="33"/>
      <c r="M72" s="33"/>
      <c r="N72" s="33"/>
      <c r="O72" s="33"/>
      <c r="Q72" s="33"/>
      <c r="R72" s="33"/>
      <c r="S72" s="33"/>
      <c r="U72" s="33"/>
      <c r="V72" s="33"/>
    </row>
    <row r="73" spans="1:22" ht="12.75">
      <c r="A73" s="33"/>
      <c r="B73" s="75"/>
      <c r="C73" s="33"/>
      <c r="D73" s="33"/>
      <c r="E73" s="33"/>
      <c r="F73" s="56"/>
      <c r="G73" s="33"/>
      <c r="H73" s="33"/>
      <c r="I73" s="33"/>
      <c r="J73" s="33"/>
      <c r="K73" s="33"/>
      <c r="L73" s="33"/>
      <c r="M73" s="33"/>
      <c r="N73" s="33"/>
      <c r="O73" s="33"/>
      <c r="Q73" s="33"/>
      <c r="R73" s="33"/>
      <c r="S73" s="33"/>
      <c r="U73" s="33"/>
      <c r="V73" s="33"/>
    </row>
    <row r="74" spans="1:22" ht="12.75">
      <c r="A74" s="33"/>
      <c r="B74" s="75"/>
      <c r="C74" s="33"/>
      <c r="D74" s="33"/>
      <c r="E74" s="33"/>
      <c r="F74" s="56"/>
      <c r="G74" s="33"/>
      <c r="H74" s="33"/>
      <c r="I74" s="33"/>
      <c r="J74" s="33"/>
      <c r="K74" s="33"/>
      <c r="L74" s="33"/>
      <c r="M74" s="33"/>
      <c r="N74" s="33"/>
      <c r="O74" s="33"/>
      <c r="Q74" s="33"/>
      <c r="R74" s="33"/>
      <c r="S74" s="33"/>
      <c r="U74" s="33"/>
      <c r="V74" s="33"/>
    </row>
    <row r="75" spans="1:22" ht="12.75">
      <c r="A75" s="33"/>
      <c r="B75" s="75"/>
      <c r="C75" s="33"/>
      <c r="D75" s="33"/>
      <c r="E75" s="33"/>
      <c r="F75" s="56"/>
      <c r="G75" s="33"/>
      <c r="H75" s="33"/>
      <c r="I75" s="33"/>
      <c r="J75" s="33"/>
      <c r="K75" s="33"/>
      <c r="L75" s="33"/>
      <c r="M75" s="33"/>
      <c r="N75" s="33"/>
      <c r="O75" s="33"/>
      <c r="Q75" s="33"/>
      <c r="R75" s="33"/>
      <c r="S75" s="33"/>
      <c r="U75" s="33"/>
      <c r="V75" s="33"/>
    </row>
    <row r="76" spans="1:22" ht="12.75">
      <c r="A76" s="33"/>
      <c r="B76" s="75"/>
      <c r="C76" s="33"/>
      <c r="D76" s="33"/>
      <c r="E76" s="33"/>
      <c r="F76" s="56"/>
      <c r="G76" s="33"/>
      <c r="H76" s="33"/>
      <c r="I76" s="33"/>
      <c r="J76" s="33"/>
      <c r="K76" s="33"/>
      <c r="L76" s="33"/>
      <c r="M76" s="33"/>
      <c r="N76" s="33"/>
      <c r="O76" s="33"/>
      <c r="Q76" s="33"/>
      <c r="R76" s="33"/>
      <c r="S76" s="33"/>
      <c r="U76" s="33"/>
      <c r="V76" s="33"/>
    </row>
    <row r="77" spans="1:22" ht="12.75">
      <c r="A77" s="33"/>
      <c r="B77" s="75"/>
      <c r="C77" s="33"/>
      <c r="D77" s="33"/>
      <c r="E77" s="33"/>
      <c r="F77" s="56"/>
      <c r="G77" s="33"/>
      <c r="H77" s="33"/>
      <c r="I77" s="33"/>
      <c r="J77" s="33"/>
      <c r="K77" s="33"/>
      <c r="L77" s="33"/>
      <c r="M77" s="33"/>
      <c r="N77" s="33"/>
      <c r="O77" s="33"/>
      <c r="Q77" s="33"/>
      <c r="R77" s="33"/>
      <c r="S77" s="33"/>
      <c r="U77" s="33"/>
      <c r="V77" s="33"/>
    </row>
    <row r="78" spans="1:22" ht="12.75">
      <c r="A78" s="33"/>
      <c r="B78" s="75"/>
      <c r="C78" s="33"/>
      <c r="D78" s="33"/>
      <c r="E78" s="33"/>
      <c r="F78" s="56"/>
      <c r="G78" s="33"/>
      <c r="H78" s="33"/>
      <c r="I78" s="33"/>
      <c r="J78" s="33"/>
      <c r="K78" s="33"/>
      <c r="L78" s="33"/>
      <c r="M78" s="33"/>
      <c r="N78" s="33"/>
      <c r="O78" s="33"/>
      <c r="Q78" s="33"/>
      <c r="R78" s="33"/>
      <c r="S78" s="33"/>
      <c r="U78" s="33"/>
      <c r="V78" s="33"/>
    </row>
    <row r="79" spans="1:22" ht="12.75">
      <c r="A79" s="33"/>
      <c r="B79" s="75"/>
      <c r="C79" s="33"/>
      <c r="D79" s="33"/>
      <c r="E79" s="33"/>
      <c r="F79" s="56"/>
      <c r="G79" s="33"/>
      <c r="H79" s="33"/>
      <c r="I79" s="33"/>
      <c r="J79" s="33"/>
      <c r="K79" s="33"/>
      <c r="L79" s="33"/>
      <c r="M79" s="33"/>
      <c r="N79" s="33"/>
      <c r="O79" s="33"/>
      <c r="Q79" s="33"/>
      <c r="R79" s="33"/>
      <c r="S79" s="33"/>
      <c r="U79" s="33"/>
      <c r="V79" s="33"/>
    </row>
    <row r="80" spans="1:22" ht="12.75">
      <c r="A80" s="33"/>
      <c r="B80" s="75"/>
      <c r="C80" s="33"/>
      <c r="D80" s="33"/>
      <c r="E80" s="33"/>
      <c r="F80" s="56"/>
      <c r="G80" s="33"/>
      <c r="H80" s="33"/>
      <c r="I80" s="33"/>
      <c r="J80" s="33"/>
      <c r="K80" s="33"/>
      <c r="L80" s="33"/>
      <c r="M80" s="33"/>
      <c r="N80" s="33"/>
      <c r="O80" s="33"/>
      <c r="Q80" s="33"/>
      <c r="R80" s="33"/>
      <c r="S80" s="33"/>
      <c r="U80" s="33"/>
      <c r="V80" s="33"/>
    </row>
    <row r="81" spans="1:22" ht="12.75">
      <c r="A81" s="33"/>
      <c r="B81" s="75"/>
      <c r="C81" s="33"/>
      <c r="D81" s="33"/>
      <c r="E81" s="33"/>
      <c r="F81" s="56"/>
      <c r="G81" s="33"/>
      <c r="H81" s="33"/>
      <c r="I81" s="33"/>
      <c r="J81" s="33"/>
      <c r="K81" s="33"/>
      <c r="L81" s="33"/>
      <c r="M81" s="33"/>
      <c r="N81" s="33"/>
      <c r="O81" s="33"/>
      <c r="Q81" s="33"/>
      <c r="R81" s="33"/>
      <c r="S81" s="33"/>
      <c r="U81" s="33"/>
      <c r="V81" s="33"/>
    </row>
    <row r="82" spans="1:22" ht="12.75">
      <c r="A82" s="33"/>
      <c r="B82" s="75"/>
      <c r="C82" s="33"/>
      <c r="D82" s="33"/>
      <c r="E82" s="33"/>
      <c r="F82" s="56"/>
      <c r="G82" s="33"/>
      <c r="H82" s="33"/>
      <c r="I82" s="33"/>
      <c r="J82" s="33"/>
      <c r="K82" s="33"/>
      <c r="L82" s="33"/>
      <c r="M82" s="33"/>
      <c r="N82" s="33"/>
      <c r="O82" s="33"/>
      <c r="Q82" s="33"/>
      <c r="R82" s="33"/>
      <c r="S82" s="33"/>
      <c r="U82" s="33"/>
      <c r="V82" s="33"/>
    </row>
    <row r="83" spans="1:22" ht="12.75">
      <c r="A83" s="33"/>
      <c r="B83" s="75"/>
      <c r="C83" s="33"/>
      <c r="D83" s="33"/>
      <c r="E83" s="33"/>
      <c r="F83" s="56"/>
      <c r="G83" s="33"/>
      <c r="H83" s="33"/>
      <c r="I83" s="33"/>
      <c r="J83" s="33"/>
      <c r="K83" s="33"/>
      <c r="L83" s="33"/>
      <c r="M83" s="33"/>
      <c r="N83" s="33"/>
      <c r="O83" s="33"/>
      <c r="Q83" s="33"/>
      <c r="R83" s="33"/>
      <c r="S83" s="33"/>
      <c r="U83" s="33"/>
      <c r="V83" s="33"/>
    </row>
    <row r="84" spans="1:22" ht="12.75">
      <c r="A84" s="33"/>
      <c r="B84" s="33"/>
      <c r="C84" s="33"/>
      <c r="D84" s="33"/>
      <c r="E84" s="33"/>
      <c r="F84" s="56"/>
      <c r="G84" s="33"/>
      <c r="H84" s="33"/>
      <c r="I84" s="33"/>
      <c r="J84" s="33"/>
      <c r="K84" s="33"/>
      <c r="L84" s="33"/>
      <c r="M84" s="33"/>
      <c r="N84" s="33"/>
      <c r="O84" s="33"/>
      <c r="Q84" s="33"/>
      <c r="R84" s="33"/>
      <c r="S84" s="33"/>
      <c r="U84" s="33"/>
      <c r="V84" s="33"/>
    </row>
    <row r="85" spans="1:22" ht="12.75">
      <c r="A85" s="33"/>
      <c r="B85" s="33"/>
      <c r="C85" s="33"/>
      <c r="D85" s="33"/>
      <c r="E85" s="33"/>
      <c r="F85" s="56"/>
      <c r="G85" s="33"/>
      <c r="H85" s="33"/>
      <c r="I85" s="33"/>
      <c r="J85" s="33"/>
      <c r="K85" s="33"/>
      <c r="L85" s="33"/>
      <c r="M85" s="33"/>
      <c r="N85" s="33"/>
      <c r="O85" s="33"/>
      <c r="Q85" s="33"/>
      <c r="R85" s="33"/>
      <c r="S85" s="33"/>
      <c r="U85" s="33"/>
      <c r="V85" s="33"/>
    </row>
    <row r="86" spans="1:22" ht="12.75">
      <c r="A86" s="33"/>
      <c r="B86" s="33"/>
      <c r="C86" s="33"/>
      <c r="D86" s="33"/>
      <c r="E86" s="33"/>
      <c r="F86" s="56"/>
      <c r="G86" s="33"/>
      <c r="H86" s="33"/>
      <c r="I86" s="33"/>
      <c r="J86" s="33"/>
      <c r="K86" s="33"/>
      <c r="L86" s="33"/>
      <c r="M86" s="33"/>
      <c r="N86" s="33"/>
      <c r="O86" s="33"/>
      <c r="Q86" s="33"/>
      <c r="R86" s="33"/>
      <c r="S86" s="33"/>
      <c r="T86" s="33"/>
      <c r="U86" s="33"/>
      <c r="V86" s="33"/>
    </row>
    <row r="87" spans="1:22" ht="12.75">
      <c r="A87" s="33"/>
      <c r="B87" s="33"/>
      <c r="C87" s="33"/>
      <c r="D87" s="33"/>
      <c r="E87" s="33"/>
      <c r="F87" s="56"/>
      <c r="G87" s="33"/>
      <c r="H87" s="33"/>
      <c r="I87" s="33"/>
      <c r="J87" s="33"/>
      <c r="K87" s="33"/>
      <c r="L87" s="33"/>
      <c r="M87" s="33"/>
      <c r="N87" s="33"/>
      <c r="O87" s="33"/>
      <c r="Q87" s="33"/>
      <c r="R87" s="33"/>
      <c r="S87" s="33"/>
      <c r="T87" s="33"/>
      <c r="U87" s="33"/>
      <c r="V87" s="33"/>
    </row>
    <row r="88" spans="1:22" ht="12.75">
      <c r="A88" s="33"/>
      <c r="B88" s="33"/>
      <c r="C88" s="33"/>
      <c r="D88" s="33"/>
      <c r="E88" s="33"/>
      <c r="F88" s="56"/>
      <c r="G88" s="33"/>
      <c r="H88" s="33"/>
      <c r="I88" s="33"/>
      <c r="J88" s="33"/>
      <c r="K88" s="33"/>
      <c r="L88" s="33"/>
      <c r="M88" s="33"/>
      <c r="N88" s="33"/>
      <c r="O88" s="33"/>
      <c r="Q88" s="33"/>
      <c r="R88" s="33"/>
      <c r="S88" s="33"/>
      <c r="T88" s="33"/>
      <c r="U88" s="33"/>
      <c r="V88" s="33"/>
    </row>
    <row r="89" spans="1:22" ht="12.75">
      <c r="A89" s="33"/>
      <c r="B89" s="33"/>
      <c r="C89" s="33"/>
      <c r="D89" s="33"/>
      <c r="E89" s="33"/>
      <c r="F89" s="56"/>
      <c r="G89" s="33"/>
      <c r="H89" s="33"/>
      <c r="I89" s="33"/>
      <c r="J89" s="33"/>
      <c r="K89" s="33"/>
      <c r="L89" s="33"/>
      <c r="M89" s="33"/>
      <c r="N89" s="33"/>
      <c r="O89" s="33"/>
      <c r="Q89" s="33"/>
      <c r="R89" s="33"/>
      <c r="S89" s="33"/>
      <c r="T89" s="33"/>
      <c r="U89" s="33"/>
      <c r="V89" s="33"/>
    </row>
    <row r="90" spans="1:22" ht="12.75">
      <c r="A90" s="33"/>
      <c r="B90" s="33"/>
      <c r="C90" s="33"/>
      <c r="D90" s="33"/>
      <c r="E90" s="33"/>
      <c r="F90" s="56"/>
      <c r="G90" s="33"/>
      <c r="H90" s="33"/>
      <c r="I90" s="33"/>
      <c r="J90" s="33"/>
      <c r="K90" s="33"/>
      <c r="L90" s="33"/>
      <c r="M90" s="33"/>
      <c r="N90" s="33"/>
      <c r="O90" s="33"/>
      <c r="Q90" s="33"/>
      <c r="R90" s="33"/>
      <c r="S90" s="33"/>
      <c r="T90" s="33"/>
      <c r="U90" s="33"/>
      <c r="V90" s="33"/>
    </row>
    <row r="91" spans="1:22" ht="12.75">
      <c r="A91" s="33"/>
      <c r="B91" s="33"/>
      <c r="C91" s="33"/>
      <c r="D91" s="33"/>
      <c r="E91" s="33"/>
      <c r="F91" s="56"/>
      <c r="G91" s="33"/>
      <c r="H91" s="33"/>
      <c r="I91" s="33"/>
      <c r="J91" s="33"/>
      <c r="K91" s="33"/>
      <c r="L91" s="33"/>
      <c r="M91" s="33"/>
      <c r="N91" s="33"/>
      <c r="O91" s="33"/>
      <c r="Q91" s="33"/>
      <c r="R91" s="33"/>
      <c r="S91" s="33"/>
      <c r="T91" s="33"/>
      <c r="U91" s="33"/>
      <c r="V91" s="33"/>
    </row>
    <row r="92" spans="1:22" ht="12.75">
      <c r="A92" s="33"/>
      <c r="B92" s="33"/>
      <c r="C92" s="33"/>
      <c r="D92" s="33"/>
      <c r="E92" s="33"/>
      <c r="F92" s="56"/>
      <c r="G92" s="33"/>
      <c r="H92" s="33"/>
      <c r="I92" s="33"/>
      <c r="J92" s="33"/>
      <c r="K92" s="33"/>
      <c r="L92" s="33"/>
      <c r="M92" s="33"/>
      <c r="N92" s="33"/>
      <c r="O92" s="33"/>
      <c r="Q92" s="33"/>
      <c r="R92" s="33"/>
      <c r="S92" s="33"/>
      <c r="T92" s="33"/>
      <c r="U92" s="33"/>
      <c r="V92" s="33"/>
    </row>
    <row r="93" spans="1:22" ht="12.75">
      <c r="A93" s="33"/>
      <c r="B93" s="33"/>
      <c r="C93" s="33"/>
      <c r="D93" s="33"/>
      <c r="E93" s="33"/>
      <c r="F93" s="56"/>
      <c r="G93" s="33"/>
      <c r="H93" s="33"/>
      <c r="I93" s="33"/>
      <c r="J93" s="33"/>
      <c r="K93" s="33"/>
      <c r="L93" s="33"/>
      <c r="M93" s="33"/>
      <c r="N93" s="33"/>
      <c r="O93" s="33"/>
      <c r="Q93" s="33"/>
      <c r="R93" s="33"/>
      <c r="S93" s="33"/>
      <c r="T93" s="33"/>
      <c r="U93" s="33"/>
      <c r="V93" s="33"/>
    </row>
    <row r="94" spans="1:22" ht="12.75">
      <c r="A94" s="33"/>
      <c r="B94" s="33"/>
      <c r="C94" s="33"/>
      <c r="D94" s="33"/>
      <c r="E94" s="33"/>
      <c r="F94" s="56"/>
      <c r="G94" s="33"/>
      <c r="H94" s="33"/>
      <c r="I94" s="33"/>
      <c r="J94" s="33"/>
      <c r="K94" s="33"/>
      <c r="L94" s="33"/>
      <c r="M94" s="33"/>
      <c r="N94" s="33"/>
      <c r="O94" s="33"/>
      <c r="Q94" s="33"/>
      <c r="R94" s="33"/>
      <c r="S94" s="33"/>
      <c r="T94" s="33"/>
      <c r="U94" s="33"/>
      <c r="V94" s="33"/>
    </row>
    <row r="95" spans="1:22" ht="12.75">
      <c r="A95" s="33"/>
      <c r="B95" s="33"/>
      <c r="C95" s="33"/>
      <c r="D95" s="33"/>
      <c r="E95" s="33"/>
      <c r="F95" s="56"/>
      <c r="G95" s="33"/>
      <c r="H95" s="33"/>
      <c r="I95" s="33"/>
      <c r="J95" s="33"/>
      <c r="K95" s="33"/>
      <c r="L95" s="33"/>
      <c r="M95" s="33"/>
      <c r="N95" s="33"/>
      <c r="O95" s="33"/>
      <c r="Q95" s="33"/>
      <c r="R95" s="33"/>
      <c r="S95" s="33"/>
      <c r="T95" s="33"/>
      <c r="U95" s="33"/>
      <c r="V95" s="33"/>
    </row>
    <row r="96" spans="1:22" ht="12.75">
      <c r="A96" s="33"/>
      <c r="B96" s="33"/>
      <c r="C96" s="33"/>
      <c r="D96" s="33"/>
      <c r="E96" s="33"/>
      <c r="F96" s="56"/>
      <c r="G96" s="33"/>
      <c r="H96" s="33"/>
      <c r="I96" s="33"/>
      <c r="J96" s="33"/>
      <c r="K96" s="33"/>
      <c r="L96" s="33"/>
      <c r="M96" s="33"/>
      <c r="N96" s="33"/>
      <c r="O96" s="33"/>
      <c r="Q96" s="33"/>
      <c r="R96" s="33"/>
      <c r="S96" s="33"/>
      <c r="T96" s="33"/>
      <c r="U96" s="33"/>
      <c r="V96" s="33"/>
    </row>
    <row r="97" spans="1:22" ht="12.75">
      <c r="A97" s="33"/>
      <c r="B97" s="33"/>
      <c r="C97" s="33"/>
      <c r="D97" s="33"/>
      <c r="E97" s="33"/>
      <c r="F97" s="56"/>
      <c r="G97" s="33"/>
      <c r="H97" s="33"/>
      <c r="I97" s="33"/>
      <c r="J97" s="33"/>
      <c r="K97" s="33"/>
      <c r="L97" s="33"/>
      <c r="M97" s="33"/>
      <c r="N97" s="33"/>
      <c r="O97" s="33"/>
      <c r="Q97" s="33"/>
      <c r="R97" s="33"/>
      <c r="S97" s="33"/>
      <c r="T97" s="33"/>
      <c r="U97" s="33"/>
      <c r="V97" s="33"/>
    </row>
    <row r="98" spans="1:22" ht="12.75">
      <c r="A98" s="33"/>
      <c r="B98" s="33"/>
      <c r="C98" s="33"/>
      <c r="D98" s="33"/>
      <c r="E98" s="33"/>
      <c r="F98" s="56"/>
      <c r="G98" s="33"/>
      <c r="H98" s="33"/>
      <c r="I98" s="33"/>
      <c r="J98" s="33"/>
      <c r="K98" s="33"/>
      <c r="L98" s="33"/>
      <c r="M98" s="33"/>
      <c r="N98" s="33"/>
      <c r="O98" s="33"/>
      <c r="Q98" s="33"/>
      <c r="R98" s="33"/>
      <c r="S98" s="33"/>
      <c r="T98" s="33"/>
      <c r="U98" s="33"/>
      <c r="V98" s="33"/>
    </row>
    <row r="99" spans="1:22" ht="12.75">
      <c r="A99" s="33"/>
      <c r="B99" s="33"/>
      <c r="C99" s="33"/>
      <c r="D99" s="33"/>
      <c r="E99" s="33"/>
      <c r="F99" s="56"/>
      <c r="G99" s="33"/>
      <c r="H99" s="33"/>
      <c r="I99" s="33"/>
      <c r="J99" s="33"/>
      <c r="K99" s="33"/>
      <c r="L99" s="33"/>
      <c r="M99" s="33"/>
      <c r="N99" s="33"/>
      <c r="O99" s="33"/>
      <c r="Q99" s="33"/>
      <c r="R99" s="33"/>
      <c r="S99" s="33"/>
      <c r="T99" s="33"/>
      <c r="U99" s="33"/>
      <c r="V99" s="33"/>
    </row>
    <row r="100" spans="1:22" ht="12.75">
      <c r="A100" s="33"/>
      <c r="B100" s="33"/>
      <c r="C100" s="33"/>
      <c r="D100" s="33"/>
      <c r="E100" s="33"/>
      <c r="F100" s="56"/>
      <c r="G100" s="33"/>
      <c r="H100" s="33"/>
      <c r="I100" s="33"/>
      <c r="J100" s="33"/>
      <c r="K100" s="33"/>
      <c r="L100" s="33"/>
      <c r="M100" s="33"/>
      <c r="N100" s="33"/>
      <c r="O100" s="33"/>
      <c r="Q100" s="33"/>
      <c r="R100" s="33"/>
      <c r="S100" s="33"/>
      <c r="T100" s="33"/>
      <c r="U100" s="33"/>
      <c r="V100" s="33"/>
    </row>
    <row r="101" spans="1:22" ht="12.75">
      <c r="A101" s="33"/>
      <c r="B101" s="33"/>
      <c r="C101" s="33"/>
      <c r="D101" s="33"/>
      <c r="E101" s="33"/>
      <c r="F101" s="56"/>
      <c r="G101" s="33"/>
      <c r="H101" s="33"/>
      <c r="I101" s="33"/>
      <c r="J101" s="33"/>
      <c r="K101" s="33"/>
      <c r="L101" s="33"/>
      <c r="M101" s="33"/>
      <c r="N101" s="33"/>
      <c r="O101" s="33"/>
      <c r="Q101" s="33"/>
      <c r="R101" s="33"/>
      <c r="S101" s="33"/>
      <c r="T101" s="33"/>
      <c r="U101" s="33"/>
      <c r="V101" s="33"/>
    </row>
    <row r="102" spans="1:22" ht="12.75">
      <c r="A102" s="33"/>
      <c r="B102" s="33"/>
      <c r="C102" s="33"/>
      <c r="D102" s="33"/>
      <c r="E102" s="33"/>
      <c r="F102" s="56"/>
      <c r="G102" s="33"/>
      <c r="H102" s="33"/>
      <c r="I102" s="33"/>
      <c r="J102" s="33"/>
      <c r="K102" s="33"/>
      <c r="L102" s="33"/>
      <c r="M102" s="33"/>
      <c r="N102" s="33"/>
      <c r="O102" s="33"/>
      <c r="Q102" s="33"/>
      <c r="R102" s="33"/>
      <c r="S102" s="33"/>
      <c r="T102" s="33"/>
      <c r="U102" s="33"/>
      <c r="V102" s="33"/>
    </row>
    <row r="103" spans="1:22" ht="12.75">
      <c r="A103" s="33"/>
      <c r="B103" s="33"/>
      <c r="C103" s="33"/>
      <c r="D103" s="33"/>
      <c r="E103" s="33"/>
      <c r="F103" s="56"/>
      <c r="G103" s="33"/>
      <c r="H103" s="33"/>
      <c r="I103" s="33"/>
      <c r="J103" s="33"/>
      <c r="K103" s="33"/>
      <c r="L103" s="33"/>
      <c r="M103" s="33"/>
      <c r="N103" s="33"/>
      <c r="O103" s="33"/>
      <c r="Q103" s="33"/>
      <c r="R103" s="33"/>
      <c r="S103" s="33"/>
      <c r="T103" s="33"/>
      <c r="U103" s="33"/>
      <c r="V103" s="3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3"/>
  <sheetViews>
    <sheetView zoomScalePageLayoutView="0" workbookViewId="0" topLeftCell="A30">
      <selection activeCell="B6" sqref="B6"/>
    </sheetView>
  </sheetViews>
  <sheetFormatPr defaultColWidth="11.421875" defaultRowHeight="12.75"/>
  <cols>
    <col min="1" max="1" width="20.421875" style="4" customWidth="1"/>
    <col min="2" max="2" width="12.140625" style="4" customWidth="1"/>
    <col min="3" max="3" width="10.8515625" style="4" customWidth="1"/>
    <col min="4" max="4" width="12.8515625" style="4" customWidth="1"/>
    <col min="5" max="5" width="13.28125" style="4" bestFit="1" customWidth="1"/>
    <col min="6" max="6" width="11.7109375" style="24" hidden="1" customWidth="1"/>
    <col min="7" max="7" width="11.57421875" style="4" hidden="1" customWidth="1"/>
    <col min="8" max="8" width="11.57421875" style="4" customWidth="1"/>
    <col min="9" max="9" width="11.140625" style="4" customWidth="1"/>
    <col min="10" max="10" width="10.140625" style="4" customWidth="1"/>
    <col min="11" max="11" width="12.140625" style="4" bestFit="1" customWidth="1"/>
    <col min="12" max="12" width="10.140625" style="4" customWidth="1"/>
    <col min="13" max="13" width="12.140625" style="4" bestFit="1" customWidth="1"/>
    <col min="14" max="14" width="10.28125" style="4" bestFit="1" customWidth="1"/>
    <col min="15" max="15" width="10.8515625" style="4" customWidth="1"/>
    <col min="16" max="16" width="7.8515625" style="32" customWidth="1"/>
    <col min="17" max="17" width="14.421875" style="4" customWidth="1"/>
    <col min="18" max="18" width="13.7109375" style="4" customWidth="1"/>
    <col min="19" max="20" width="11.421875" style="4" customWidth="1"/>
    <col min="21" max="21" width="10.8515625" style="4" customWidth="1"/>
    <col min="22" max="23" width="6.7109375" style="4" bestFit="1" customWidth="1"/>
    <col min="24" max="24" width="8.421875" style="4" bestFit="1" customWidth="1"/>
    <col min="25" max="25" width="12.28125" style="4" bestFit="1" customWidth="1"/>
    <col min="26" max="26" width="10.8515625" style="4" bestFit="1" customWidth="1"/>
    <col min="27" max="27" width="13.8515625" style="4" bestFit="1" customWidth="1"/>
    <col min="28" max="28" width="11.00390625" style="4" customWidth="1"/>
    <col min="29" max="29" width="13.00390625" style="4" bestFit="1" customWidth="1"/>
    <col min="30" max="30" width="12.28125" style="4" bestFit="1" customWidth="1"/>
    <col min="31" max="31" width="13.140625" style="4" bestFit="1" customWidth="1"/>
    <col min="32" max="32" width="12.8515625" style="4" bestFit="1" customWidth="1"/>
    <col min="33" max="33" width="16.57421875" style="4" bestFit="1" customWidth="1"/>
    <col min="34" max="34" width="12.00390625" style="4" customWidth="1"/>
    <col min="35" max="35" width="11.57421875" style="4" bestFit="1" customWidth="1"/>
    <col min="36" max="36" width="13.7109375" style="4" bestFit="1" customWidth="1"/>
    <col min="37" max="37" width="12.28125" style="4" customWidth="1"/>
    <col min="38" max="38" width="12.7109375" style="4" bestFit="1" customWidth="1"/>
    <col min="39" max="39" width="10.8515625" style="4" bestFit="1" customWidth="1"/>
    <col min="40" max="40" width="11.28125" style="4" bestFit="1" customWidth="1"/>
    <col min="41" max="41" width="13.00390625" style="4" bestFit="1" customWidth="1"/>
    <col min="42" max="42" width="14.421875" style="4" bestFit="1" customWidth="1"/>
    <col min="43" max="43" width="12.421875" style="4" bestFit="1" customWidth="1"/>
    <col min="44" max="44" width="11.57421875" style="4" bestFit="1" customWidth="1"/>
    <col min="45" max="45" width="12.00390625" style="4" bestFit="1" customWidth="1"/>
    <col min="46" max="46" width="12.28125" style="4" bestFit="1" customWidth="1"/>
    <col min="47" max="47" width="13.7109375" style="4" customWidth="1"/>
    <col min="48" max="48" width="10.57421875" style="4" bestFit="1" customWidth="1"/>
    <col min="49" max="49" width="10.57421875" style="4" customWidth="1"/>
    <col min="50" max="50" width="12.28125" style="4" customWidth="1"/>
    <col min="51" max="51" width="11.28125" style="4" customWidth="1"/>
    <col min="52" max="52" width="11.57421875" style="4" customWidth="1"/>
    <col min="53" max="53" width="12.00390625" style="4" customWidth="1"/>
    <col min="54" max="54" width="11.57421875" style="4" customWidth="1"/>
    <col min="55" max="56" width="12.140625" style="4" customWidth="1"/>
    <col min="57" max="57" width="10.8515625" style="4" customWidth="1"/>
    <col min="58" max="58" width="11.57421875" style="4" customWidth="1"/>
    <col min="59" max="60" width="13.57421875" style="4" bestFit="1" customWidth="1"/>
    <col min="61" max="61" width="17.28125" style="4" customWidth="1"/>
    <col min="62" max="62" width="13.57421875" style="4" bestFit="1" customWidth="1"/>
    <col min="63" max="63" width="17.28125" style="4" customWidth="1"/>
    <col min="64" max="64" width="11.421875" style="4" customWidth="1"/>
    <col min="65" max="65" width="12.421875" style="4" customWidth="1"/>
    <col min="66" max="73" width="11.421875" style="4" customWidth="1"/>
    <col min="74" max="100" width="0" style="4" hidden="1" customWidth="1"/>
    <col min="101" max="101" width="12.57421875" style="4" hidden="1" customWidth="1"/>
    <col min="102" max="128" width="0" style="4" hidden="1" customWidth="1"/>
    <col min="129" max="130" width="12.7109375" style="4" hidden="1" customWidth="1"/>
    <col min="131" max="134" width="0" style="4" hidden="1" customWidth="1"/>
    <col min="135" max="135" width="12.57421875" style="4" hidden="1" customWidth="1"/>
    <col min="136" max="137" width="0" style="4" hidden="1" customWidth="1"/>
    <col min="138" max="138" width="12.00390625" style="4" hidden="1" customWidth="1"/>
    <col min="139" max="140" width="0" style="4" hidden="1" customWidth="1"/>
    <col min="141" max="141" width="12.7109375" style="4" hidden="1" customWidth="1"/>
    <col min="142" max="143" width="0" style="4" hidden="1" customWidth="1"/>
    <col min="144" max="144" width="12.7109375" style="4" hidden="1" customWidth="1"/>
    <col min="145" max="146" width="0" style="4" hidden="1" customWidth="1"/>
    <col min="147" max="147" width="13.28125" style="4" hidden="1" customWidth="1"/>
    <col min="148" max="152" width="0" style="4" hidden="1" customWidth="1"/>
    <col min="153" max="153" width="13.421875" style="4" hidden="1" customWidth="1"/>
    <col min="154" max="155" width="0" style="4" hidden="1" customWidth="1"/>
    <col min="156" max="156" width="14.7109375" style="4" customWidth="1"/>
    <col min="157" max="157" width="14.00390625" style="4" customWidth="1"/>
    <col min="158" max="158" width="11.421875" style="4" customWidth="1"/>
    <col min="159" max="159" width="13.421875" style="4" customWidth="1"/>
    <col min="160" max="160" width="13.57421875" style="4" bestFit="1" customWidth="1"/>
    <col min="161" max="16384" width="11.421875" style="4" customWidth="1"/>
  </cols>
  <sheetData>
    <row r="1" spans="1:16" ht="13.5" thickBot="1">
      <c r="A1" s="85" t="s">
        <v>257</v>
      </c>
      <c r="B1" s="83"/>
      <c r="C1" s="83"/>
      <c r="D1" s="83"/>
      <c r="E1" s="83"/>
      <c r="F1" s="82"/>
      <c r="G1" s="83"/>
      <c r="H1" s="83"/>
      <c r="I1" s="86"/>
      <c r="J1" s="83"/>
      <c r="K1" s="87"/>
      <c r="L1" s="2"/>
      <c r="M1" s="2"/>
      <c r="N1" s="2"/>
      <c r="O1" s="2"/>
      <c r="P1" s="3"/>
    </row>
    <row r="2" spans="1:17" ht="12.75">
      <c r="A2" s="53" t="s">
        <v>238</v>
      </c>
      <c r="B2" s="6"/>
      <c r="C2" s="6"/>
      <c r="D2" s="6"/>
      <c r="E2" s="6"/>
      <c r="F2" s="22"/>
      <c r="G2" s="6"/>
      <c r="H2" s="6" t="s">
        <v>254</v>
      </c>
      <c r="I2" s="6" t="s">
        <v>239</v>
      </c>
      <c r="J2" s="6" t="s">
        <v>240</v>
      </c>
      <c r="K2" s="67" t="s">
        <v>241</v>
      </c>
      <c r="M2" s="6"/>
      <c r="N2" s="6"/>
      <c r="O2" s="6"/>
      <c r="P2" s="8"/>
      <c r="Q2" s="77"/>
    </row>
    <row r="3" spans="1:16" ht="12.75">
      <c r="A3" s="53" t="s">
        <v>2</v>
      </c>
      <c r="B3" s="6">
        <f>190000*B50</f>
        <v>476083.35719999997</v>
      </c>
      <c r="C3" s="6">
        <v>11</v>
      </c>
      <c r="D3" s="6">
        <f>C3*B3</f>
        <v>5236916.929199999</v>
      </c>
      <c r="E3" s="6"/>
      <c r="F3" s="22"/>
      <c r="G3" s="6"/>
      <c r="H3" s="9">
        <f>'Costos Km'!L77</f>
        <v>1.4565490615115322</v>
      </c>
      <c r="I3" s="6">
        <v>10000</v>
      </c>
      <c r="J3" s="6">
        <f>H3*I3</f>
        <v>14565.490615115323</v>
      </c>
      <c r="K3" s="67">
        <f>J3*C3</f>
        <v>160220.39676626856</v>
      </c>
      <c r="M3" s="6"/>
      <c r="N3" s="6"/>
      <c r="O3" s="6"/>
      <c r="P3" s="8"/>
    </row>
    <row r="4" spans="1:16" ht="12.75">
      <c r="A4" s="53" t="s">
        <v>4</v>
      </c>
      <c r="B4" s="6">
        <f>100000*B50</f>
        <v>250570.18799999997</v>
      </c>
      <c r="C4" s="6">
        <v>11</v>
      </c>
      <c r="D4" s="6">
        <f>C4*B4</f>
        <v>2756272.0679999995</v>
      </c>
      <c r="E4" s="6"/>
      <c r="F4" s="22"/>
      <c r="G4" s="6"/>
      <c r="H4" s="9">
        <f>'Costos Km'!L101</f>
        <v>0.17978747078943746</v>
      </c>
      <c r="I4" s="6">
        <f>I3</f>
        <v>10000</v>
      </c>
      <c r="J4" s="6">
        <f>H4*I4</f>
        <v>1797.8747078943748</v>
      </c>
      <c r="K4" s="67">
        <f>J4*C4</f>
        <v>19776.62178683812</v>
      </c>
      <c r="M4" s="6"/>
      <c r="N4" s="6"/>
      <c r="O4" s="6"/>
      <c r="P4" s="8"/>
    </row>
    <row r="5" spans="1:16" ht="12.75">
      <c r="A5" s="53" t="s">
        <v>290</v>
      </c>
      <c r="B5" s="6">
        <f>120000*B50</f>
        <v>300684.22559999995</v>
      </c>
      <c r="C5" s="10">
        <v>10</v>
      </c>
      <c r="D5" s="6">
        <f>C5*B5</f>
        <v>3006842.2559999996</v>
      </c>
      <c r="E5" s="6"/>
      <c r="F5" s="22"/>
      <c r="G5" s="6"/>
      <c r="H5" s="9">
        <f>'Costos Km'!L177</f>
        <v>1.432217675100947</v>
      </c>
      <c r="I5" s="6">
        <v>7000</v>
      </c>
      <c r="J5" s="6">
        <f>H5*I5</f>
        <v>10025.52372570663</v>
      </c>
      <c r="K5" s="67">
        <f>J5*C5</f>
        <v>100255.2372570663</v>
      </c>
      <c r="M5" s="6"/>
      <c r="N5" s="6"/>
      <c r="O5" s="6"/>
      <c r="P5" s="8"/>
    </row>
    <row r="6" spans="1:16" ht="13.5" thickBot="1">
      <c r="A6" s="53" t="s">
        <v>287</v>
      </c>
      <c r="B6" s="6">
        <f>80000*B50</f>
        <v>200456.15039999998</v>
      </c>
      <c r="C6" s="11">
        <v>10</v>
      </c>
      <c r="D6" s="6">
        <f>C6*B6</f>
        <v>2004561.5039999997</v>
      </c>
      <c r="E6" s="6"/>
      <c r="F6" s="22"/>
      <c r="G6" s="6"/>
      <c r="H6" s="9">
        <f>'Costos Km'!L256</f>
        <v>1.1863336543951357</v>
      </c>
      <c r="I6" s="6">
        <v>7000</v>
      </c>
      <c r="J6" s="6">
        <f>H6*I6</f>
        <v>8304.33558076595</v>
      </c>
      <c r="K6" s="67">
        <f>J6*C6</f>
        <v>83043.3558076595</v>
      </c>
      <c r="M6" s="6"/>
      <c r="N6" s="6"/>
      <c r="O6" s="6"/>
      <c r="P6" s="8"/>
    </row>
    <row r="7" spans="1:16" ht="13.5" thickBot="1">
      <c r="A7" s="81" t="s">
        <v>9</v>
      </c>
      <c r="B7" s="82"/>
      <c r="C7" s="82"/>
      <c r="D7" s="82">
        <f>((C3*B3)+(C4*B4)+(C5*B5)+(C6*B6))</f>
        <v>13004592.757199999</v>
      </c>
      <c r="E7" s="82"/>
      <c r="F7" s="83"/>
      <c r="G7" s="83"/>
      <c r="H7" s="83"/>
      <c r="I7" s="83"/>
      <c r="J7" s="83"/>
      <c r="K7" s="84">
        <f>SUM(K3:K6)</f>
        <v>363295.6116178325</v>
      </c>
      <c r="M7" s="9"/>
      <c r="N7" s="9"/>
      <c r="O7" s="9"/>
      <c r="P7" s="8"/>
    </row>
    <row r="8" spans="5:16" ht="13.5" thickBot="1">
      <c r="E8" s="24"/>
      <c r="F8" s="4"/>
      <c r="I8" s="6"/>
      <c r="M8" s="9"/>
      <c r="N8" s="9"/>
      <c r="O8" s="9"/>
      <c r="P8" s="8"/>
    </row>
    <row r="9" spans="1:16" ht="12.75">
      <c r="A9" s="1" t="s">
        <v>11</v>
      </c>
      <c r="B9" s="88">
        <v>0.07</v>
      </c>
      <c r="C9" s="2"/>
      <c r="D9" s="2"/>
      <c r="E9" s="2"/>
      <c r="F9" s="79"/>
      <c r="G9" s="2"/>
      <c r="H9" s="2"/>
      <c r="I9" s="2" t="s">
        <v>12</v>
      </c>
      <c r="J9" s="2"/>
      <c r="K9" s="71">
        <f>65*B50</f>
        <v>162.87062219999999</v>
      </c>
      <c r="M9" s="9"/>
      <c r="N9" s="9"/>
      <c r="O9" s="9"/>
      <c r="P9" s="8"/>
    </row>
    <row r="10" spans="1:16" ht="12.75">
      <c r="A10" s="5" t="s">
        <v>14</v>
      </c>
      <c r="B10" s="6">
        <v>0</v>
      </c>
      <c r="C10" s="6"/>
      <c r="D10" s="6"/>
      <c r="E10" s="6"/>
      <c r="F10" s="22"/>
      <c r="G10" s="6"/>
      <c r="H10" s="6"/>
      <c r="I10" s="6" t="s">
        <v>43</v>
      </c>
      <c r="J10" s="6"/>
      <c r="K10" s="89">
        <v>1.4</v>
      </c>
      <c r="M10" s="9">
        <v>1.0787965616045845</v>
      </c>
      <c r="N10" s="9" t="s">
        <v>293</v>
      </c>
      <c r="O10" s="9"/>
      <c r="P10" s="8"/>
    </row>
    <row r="11" spans="1:16" ht="12.75">
      <c r="A11" s="5" t="s">
        <v>16</v>
      </c>
      <c r="B11" s="6">
        <v>7</v>
      </c>
      <c r="C11" s="6"/>
      <c r="D11" s="6"/>
      <c r="E11" s="6"/>
      <c r="F11" s="22"/>
      <c r="G11" s="6"/>
      <c r="H11" s="6"/>
      <c r="I11" s="6" t="s">
        <v>7</v>
      </c>
      <c r="J11" s="6"/>
      <c r="K11" s="67">
        <v>21</v>
      </c>
      <c r="M11" s="9">
        <f>1.124+0.02</f>
        <v>1.1440000000000001</v>
      </c>
      <c r="N11" s="9" t="s">
        <v>294</v>
      </c>
      <c r="O11" s="9"/>
      <c r="P11" s="8"/>
    </row>
    <row r="12" spans="1:16" ht="12.75">
      <c r="A12" s="5" t="s">
        <v>18</v>
      </c>
      <c r="B12" s="12">
        <v>0.3</v>
      </c>
      <c r="C12" s="6" t="s">
        <v>295</v>
      </c>
      <c r="D12" s="6" t="s">
        <v>296</v>
      </c>
      <c r="E12" s="9">
        <v>139.7</v>
      </c>
      <c r="F12" s="22"/>
      <c r="G12" s="6"/>
      <c r="H12" s="6"/>
      <c r="I12" s="6" t="s">
        <v>17</v>
      </c>
      <c r="J12" s="6"/>
      <c r="K12" s="191">
        <f>+B51</f>
        <v>4.3</v>
      </c>
      <c r="M12" s="9"/>
      <c r="N12" s="9"/>
      <c r="O12" s="9"/>
      <c r="P12" s="8"/>
    </row>
    <row r="13" spans="1:16" ht="12.75">
      <c r="A13" s="5" t="s">
        <v>255</v>
      </c>
      <c r="B13" s="14">
        <v>0.24</v>
      </c>
      <c r="C13" s="6"/>
      <c r="D13" s="6" t="s">
        <v>297</v>
      </c>
      <c r="E13" s="9">
        <v>169.3</v>
      </c>
      <c r="F13" s="22"/>
      <c r="G13" s="6"/>
      <c r="H13" s="6"/>
      <c r="I13" s="6" t="s">
        <v>13</v>
      </c>
      <c r="J13" s="6"/>
      <c r="K13" s="191">
        <f>((1064)+(65*0.25*22))</f>
        <v>1421.5</v>
      </c>
      <c r="M13" s="9">
        <v>1.22</v>
      </c>
      <c r="N13" s="12" t="s">
        <v>23</v>
      </c>
      <c r="O13" s="12"/>
      <c r="P13" s="8"/>
    </row>
    <row r="14" spans="1:16" ht="13.5" thickBot="1">
      <c r="A14" s="69" t="str">
        <f>A50</f>
        <v>Inflacion-Accum</v>
      </c>
      <c r="B14" s="192">
        <f>+M13*1.23*1.21</f>
        <v>1.815726</v>
      </c>
      <c r="C14" s="29"/>
      <c r="D14" s="29" t="s">
        <v>298</v>
      </c>
      <c r="E14" s="195">
        <f>(E13/E12)-1</f>
        <v>0.2118826055833931</v>
      </c>
      <c r="F14" s="80"/>
      <c r="G14" s="29"/>
      <c r="H14" s="29"/>
      <c r="I14" s="29" t="str">
        <f>A53</f>
        <v>Combustible Bs</v>
      </c>
      <c r="J14" s="29"/>
      <c r="K14" s="90">
        <f>B53</f>
        <v>0.052</v>
      </c>
      <c r="L14" s="6"/>
      <c r="M14" s="6"/>
      <c r="N14" s="12"/>
      <c r="O14" s="12"/>
      <c r="P14" s="8"/>
    </row>
    <row r="15" spans="1:16" ht="13.5" thickBot="1">
      <c r="A15" s="5"/>
      <c r="B15" s="6"/>
      <c r="C15" s="6"/>
      <c r="D15" s="6"/>
      <c r="E15" s="6"/>
      <c r="F15" s="22"/>
      <c r="H15" s="6"/>
      <c r="I15" s="6"/>
      <c r="J15" s="6"/>
      <c r="K15" s="6"/>
      <c r="L15" s="6"/>
      <c r="M15" s="6"/>
      <c r="N15" s="6"/>
      <c r="O15" s="12"/>
      <c r="P15" s="15"/>
    </row>
    <row r="16" spans="1:18" ht="13.5" thickBot="1">
      <c r="A16" s="98" t="s">
        <v>19</v>
      </c>
      <c r="B16" s="115"/>
      <c r="C16" s="120" t="s">
        <v>20</v>
      </c>
      <c r="D16" s="99" t="s">
        <v>21</v>
      </c>
      <c r="E16" s="121" t="s">
        <v>22</v>
      </c>
      <c r="F16" s="99" t="s">
        <v>23</v>
      </c>
      <c r="G16" s="100" t="s">
        <v>24</v>
      </c>
      <c r="H16" s="134" t="s">
        <v>25</v>
      </c>
      <c r="I16" s="101" t="s">
        <v>26</v>
      </c>
      <c r="J16" s="101" t="s">
        <v>27</v>
      </c>
      <c r="K16" s="135" t="s">
        <v>28</v>
      </c>
      <c r="L16" s="148" t="s">
        <v>29</v>
      </c>
      <c r="M16" s="149" t="s">
        <v>30</v>
      </c>
      <c r="N16" s="162" t="s">
        <v>288</v>
      </c>
      <c r="O16" s="163" t="s">
        <v>289</v>
      </c>
      <c r="P16" s="102"/>
      <c r="Q16" s="98" t="s">
        <v>19</v>
      </c>
      <c r="R16" s="103"/>
    </row>
    <row r="17" spans="1:18" ht="12.75">
      <c r="A17" s="110" t="s">
        <v>31</v>
      </c>
      <c r="B17" s="116"/>
      <c r="C17" s="122"/>
      <c r="D17" s="91"/>
      <c r="E17" s="123"/>
      <c r="F17" s="91"/>
      <c r="G17" s="92"/>
      <c r="H17" s="136"/>
      <c r="I17" s="93"/>
      <c r="J17" s="93"/>
      <c r="K17" s="137"/>
      <c r="L17" s="150"/>
      <c r="M17" s="151"/>
      <c r="N17" s="164"/>
      <c r="O17" s="165"/>
      <c r="P17" s="3"/>
      <c r="Q17" s="110" t="s">
        <v>31</v>
      </c>
      <c r="R17" s="94"/>
    </row>
    <row r="18" spans="1:18" ht="12.75">
      <c r="A18" s="17" t="s">
        <v>274</v>
      </c>
      <c r="B18" s="95"/>
      <c r="C18" s="124">
        <f>H18*$C$3+J18*$C$4+L18*$C$5+N18*$C$6</f>
        <v>121706.638502625</v>
      </c>
      <c r="D18" s="18"/>
      <c r="E18" s="125">
        <f>C18+D18</f>
        <v>121706.638502625</v>
      </c>
      <c r="F18" s="19">
        <f>C18</f>
        <v>121706.638502625</v>
      </c>
      <c r="G18" s="6">
        <f>(($C$3*H18)+($C$4*J18)+($C$5*L18)+($C$6*N18))</f>
        <v>121706.638502625</v>
      </c>
      <c r="H18" s="138">
        <f>'Intereses Inversion Usados'!C90</f>
        <v>4901.048473035007</v>
      </c>
      <c r="I18" s="20"/>
      <c r="J18" s="20">
        <f>'Intereses Inversion Usados'!F90</f>
        <v>1573.5807806399953</v>
      </c>
      <c r="K18" s="139"/>
      <c r="L18" s="152">
        <f>'Intereses Inversion Usados'!I90</f>
        <v>3081.5956954200033</v>
      </c>
      <c r="M18" s="153"/>
      <c r="N18" s="166">
        <f>'Intereses Inversion Usados'!L90</f>
        <v>1966.975975799996</v>
      </c>
      <c r="O18" s="167"/>
      <c r="P18" s="21">
        <f>E18/$F$40</f>
        <v>0.06876110613190851</v>
      </c>
      <c r="Q18" s="17" t="s">
        <v>32</v>
      </c>
      <c r="R18" s="95"/>
    </row>
    <row r="19" spans="1:18" ht="12.75">
      <c r="A19" s="17" t="s">
        <v>33</v>
      </c>
      <c r="B19" s="95"/>
      <c r="C19" s="124">
        <f>((D7)*$B$9)/12</f>
        <v>75860.124417</v>
      </c>
      <c r="D19" s="18"/>
      <c r="E19" s="125">
        <f aca="true" t="shared" si="0" ref="E19:E40">C19+D19</f>
        <v>75860.124417</v>
      </c>
      <c r="F19" s="19">
        <f>F18+C19+D19</f>
        <v>197566.762919625</v>
      </c>
      <c r="G19" s="6">
        <f>(($C$3*H19)+($C$4*J19)+($C$5*L19)+($C$6*N19))</f>
        <v>75860.124417</v>
      </c>
      <c r="H19" s="138">
        <f>((B3)*$B$9)/12</f>
        <v>2777.152917</v>
      </c>
      <c r="I19" s="20"/>
      <c r="J19" s="20">
        <f>((B4)*$B$9)/12</f>
        <v>1461.65943</v>
      </c>
      <c r="K19" s="139"/>
      <c r="L19" s="152">
        <f>((B5)*$B$9)/12</f>
        <v>1753.9913159999999</v>
      </c>
      <c r="M19" s="153"/>
      <c r="N19" s="166">
        <f>((B6)*$B$9)/12</f>
        <v>1169.327544</v>
      </c>
      <c r="O19" s="167"/>
      <c r="P19" s="21">
        <f>E19/$F$40</f>
        <v>0.04285901024293442</v>
      </c>
      <c r="Q19" s="17" t="s">
        <v>33</v>
      </c>
      <c r="R19" s="95"/>
    </row>
    <row r="20" spans="1:18" ht="12.75">
      <c r="A20" s="17" t="s">
        <v>277</v>
      </c>
      <c r="B20" s="95"/>
      <c r="C20" s="124">
        <f>(H20*C3)+J20*C4+L20*C5+N20*C6</f>
        <v>4400</v>
      </c>
      <c r="D20" s="18"/>
      <c r="E20" s="125">
        <f t="shared" si="0"/>
        <v>4400</v>
      </c>
      <c r="F20" s="19">
        <f aca="true" t="shared" si="1" ref="F20:F34">F19+C20+D20</f>
        <v>201966.762919625</v>
      </c>
      <c r="G20" s="6">
        <f>(($C$3*H20)+($C$4*J20)+($C$5*L20)+($C$6*N20))</f>
        <v>4400</v>
      </c>
      <c r="H20" s="138">
        <f>8000*B13/12</f>
        <v>160</v>
      </c>
      <c r="I20" s="20"/>
      <c r="J20" s="20">
        <f>2000*B13/12</f>
        <v>40</v>
      </c>
      <c r="K20" s="139"/>
      <c r="L20" s="152">
        <f>6000*B13/12</f>
        <v>120</v>
      </c>
      <c r="M20" s="153"/>
      <c r="N20" s="166">
        <f>5000*B13/12</f>
        <v>100</v>
      </c>
      <c r="O20" s="167"/>
      <c r="P20" s="21">
        <f>E20/$F$40</f>
        <v>0.0024858863140310296</v>
      </c>
      <c r="Q20" s="17" t="s">
        <v>34</v>
      </c>
      <c r="R20" s="95"/>
    </row>
    <row r="21" spans="1:18" ht="12.75">
      <c r="A21" s="17" t="s">
        <v>276</v>
      </c>
      <c r="B21" s="95"/>
      <c r="C21" s="124">
        <f>(D7*0.05)/12</f>
        <v>54185.803155</v>
      </c>
      <c r="D21" s="18"/>
      <c r="E21" s="125">
        <f t="shared" si="0"/>
        <v>54185.803155</v>
      </c>
      <c r="F21" s="19">
        <f t="shared" si="1"/>
        <v>256152.566074625</v>
      </c>
      <c r="G21" s="6">
        <f>(($C$3*H21)+($C$4*J21)+($C$5*L21)+($C$6*N21))</f>
        <v>54185.803154999994</v>
      </c>
      <c r="H21" s="138">
        <f>(B3*0.05)/12</f>
        <v>1983.6806550000001</v>
      </c>
      <c r="I21" s="20"/>
      <c r="J21" s="20">
        <f>(B4*0.05)/12</f>
        <v>1044.04245</v>
      </c>
      <c r="K21" s="139"/>
      <c r="L21" s="152">
        <f>(B5*0.05)/12</f>
        <v>1252.8509399999998</v>
      </c>
      <c r="M21" s="153"/>
      <c r="N21" s="166">
        <f>(B6*0.05)/12</f>
        <v>835.23396</v>
      </c>
      <c r="O21" s="167"/>
      <c r="P21" s="21">
        <f>E21/$F$40</f>
        <v>0.030613578744953154</v>
      </c>
      <c r="Q21" s="17" t="str">
        <f>A21</f>
        <v>Impuestos varios</v>
      </c>
      <c r="R21" s="95"/>
    </row>
    <row r="22" spans="1:18" ht="13.5" thickBot="1">
      <c r="A22" s="26" t="s">
        <v>16</v>
      </c>
      <c r="B22" s="97"/>
      <c r="C22" s="126">
        <f>D7*(1-B12)/$B$11/12</f>
        <v>108371.60630999999</v>
      </c>
      <c r="D22" s="28"/>
      <c r="E22" s="127">
        <f t="shared" si="0"/>
        <v>108371.60630999999</v>
      </c>
      <c r="F22" s="55">
        <f t="shared" si="1"/>
        <v>364524.172384625</v>
      </c>
      <c r="G22" s="29">
        <f>(($C$3*H22)+($C$4*J22)+($C$5*L22)+($C$6*N22))</f>
        <v>108371.60630999999</v>
      </c>
      <c r="H22" s="140">
        <f>B3*(1-B12)/$B$11/12</f>
        <v>3967.361309999999</v>
      </c>
      <c r="I22" s="111"/>
      <c r="J22" s="111">
        <f>B4*(1-B12)/$B$11/12</f>
        <v>2088.0848999999994</v>
      </c>
      <c r="K22" s="141"/>
      <c r="L22" s="154">
        <f>B5*(1-B12)/$B$11/12</f>
        <v>2505.7018799999996</v>
      </c>
      <c r="M22" s="155"/>
      <c r="N22" s="168">
        <f>B6*(1-B12)/$B$11/12</f>
        <v>1670.4679199999998</v>
      </c>
      <c r="O22" s="169"/>
      <c r="P22" s="113">
        <f>E22/$F$40</f>
        <v>0.0612271574899063</v>
      </c>
      <c r="Q22" s="26" t="s">
        <v>16</v>
      </c>
      <c r="R22" s="97"/>
    </row>
    <row r="23" spans="1:18" ht="12.75">
      <c r="A23" s="110" t="s">
        <v>35</v>
      </c>
      <c r="B23" s="94"/>
      <c r="C23" s="128"/>
      <c r="D23" s="107"/>
      <c r="E23" s="129"/>
      <c r="F23" s="108">
        <f t="shared" si="1"/>
        <v>364524.172384625</v>
      </c>
      <c r="G23" s="2"/>
      <c r="H23" s="142"/>
      <c r="I23" s="109"/>
      <c r="J23" s="109"/>
      <c r="K23" s="143"/>
      <c r="L23" s="156"/>
      <c r="M23" s="157"/>
      <c r="N23" s="170"/>
      <c r="O23" s="171"/>
      <c r="P23" s="114"/>
      <c r="Q23" s="110" t="s">
        <v>35</v>
      </c>
      <c r="R23" s="94"/>
    </row>
    <row r="24" spans="1:18" ht="12.75">
      <c r="A24" s="17" t="s">
        <v>36</v>
      </c>
      <c r="B24" s="95"/>
      <c r="C24" s="124"/>
      <c r="D24" s="18">
        <f>(C3+C5+C6)*104*B50</f>
        <v>8078.382861119999</v>
      </c>
      <c r="E24" s="125">
        <f t="shared" si="0"/>
        <v>8078.382861119999</v>
      </c>
      <c r="F24" s="19">
        <f t="shared" si="1"/>
        <v>372602.555245745</v>
      </c>
      <c r="G24" s="6">
        <f>(($C$3*I24)+($C$4*J24)+($C$5*M24)+($C$6*O24))</f>
        <v>8078.382861119999</v>
      </c>
      <c r="H24" s="138"/>
      <c r="I24" s="20">
        <f>104*B50</f>
        <v>260.59299552</v>
      </c>
      <c r="J24" s="20"/>
      <c r="K24" s="139"/>
      <c r="L24" s="152"/>
      <c r="M24" s="153">
        <f>I24</f>
        <v>260.59299552</v>
      </c>
      <c r="N24" s="166"/>
      <c r="O24" s="167">
        <f>M24</f>
        <v>260.59299552</v>
      </c>
      <c r="P24" s="21">
        <f aca="true" t="shared" si="2" ref="P24:P30">E24/$F$40</f>
        <v>0.004564077589536599</v>
      </c>
      <c r="Q24" s="17" t="s">
        <v>36</v>
      </c>
      <c r="R24" s="95"/>
    </row>
    <row r="25" spans="1:18" ht="12.75">
      <c r="A25" s="17" t="s">
        <v>37</v>
      </c>
      <c r="B25" s="95"/>
      <c r="C25" s="124"/>
      <c r="D25" s="18">
        <f>(((C3*I3))*H3)+((C4*I4)*H4)+((C5*H5)*I5)+((C6*H6)*I6)</f>
        <v>363295.61161783244</v>
      </c>
      <c r="E25" s="125">
        <f t="shared" si="0"/>
        <v>363295.61161783244</v>
      </c>
      <c r="F25" s="19">
        <f t="shared" si="1"/>
        <v>735898.1668635774</v>
      </c>
      <c r="G25" s="6">
        <f>(($C$3*I25)+($C$4*K25)+($C$5*M25)+($C$6*O25))</f>
        <v>363295.6116178325</v>
      </c>
      <c r="H25" s="138"/>
      <c r="I25" s="20">
        <f>I3*H3</f>
        <v>14565.490615115323</v>
      </c>
      <c r="J25" s="20"/>
      <c r="K25" s="139">
        <f>I4*H4</f>
        <v>1797.8747078943748</v>
      </c>
      <c r="L25" s="152"/>
      <c r="M25" s="153">
        <f>I5*H5</f>
        <v>10025.52372570663</v>
      </c>
      <c r="N25" s="166"/>
      <c r="O25" s="167">
        <f>I6*H6</f>
        <v>8304.33558076595</v>
      </c>
      <c r="P25" s="21">
        <f t="shared" si="2"/>
        <v>0.20525263383370498</v>
      </c>
      <c r="Q25" s="17" t="s">
        <v>37</v>
      </c>
      <c r="R25" s="95"/>
    </row>
    <row r="26" spans="1:18" ht="12.75">
      <c r="A26" s="17" t="s">
        <v>38</v>
      </c>
      <c r="B26" s="95"/>
      <c r="C26" s="124"/>
      <c r="D26" s="18">
        <f>($B$53*($C$3)*$I$3/2)+($B$53*($C$5)*$I$5/2.5)+($B$53*($C$6)*$I$5/3)</f>
        <v>5529.333333333333</v>
      </c>
      <c r="E26" s="125">
        <f t="shared" si="0"/>
        <v>5529.333333333333</v>
      </c>
      <c r="F26" s="19">
        <f t="shared" si="1"/>
        <v>741427.5001969108</v>
      </c>
      <c r="G26" s="6">
        <f>(($C$3*I26)+($C$4*J26)+($C$5*M26)+($C$6*O26))</f>
        <v>5529.333333333333</v>
      </c>
      <c r="H26" s="138"/>
      <c r="I26" s="20">
        <f>+($B$53*$I$3/2)</f>
        <v>260</v>
      </c>
      <c r="J26" s="20"/>
      <c r="K26" s="139"/>
      <c r="L26" s="152"/>
      <c r="M26" s="153">
        <f>+($B$53*$I$5/2.5)</f>
        <v>145.6</v>
      </c>
      <c r="N26" s="166"/>
      <c r="O26" s="167">
        <f>+($B$53*$I$5/3)</f>
        <v>121.33333333333333</v>
      </c>
      <c r="P26" s="21">
        <f t="shared" si="2"/>
        <v>0.00312393046796566</v>
      </c>
      <c r="Q26" s="17" t="s">
        <v>38</v>
      </c>
      <c r="R26" s="95"/>
    </row>
    <row r="27" spans="1:18" ht="12.75">
      <c r="A27" s="17" t="s">
        <v>39</v>
      </c>
      <c r="B27" s="95"/>
      <c r="C27" s="124"/>
      <c r="D27" s="18">
        <f>(C3*I27+C5*M27+C6*O27)</f>
        <v>88611.64128431998</v>
      </c>
      <c r="E27" s="125">
        <f>(C27+D27)</f>
        <v>88611.64128431998</v>
      </c>
      <c r="F27" s="19">
        <f t="shared" si="1"/>
        <v>830039.1414812307</v>
      </c>
      <c r="G27" s="6">
        <f>(($C$3*I27)+($C$4*J27)+($C$5*M27)+($C$6*O27))</f>
        <v>88611.64128431998</v>
      </c>
      <c r="H27" s="138"/>
      <c r="I27" s="20">
        <f>(30+26+8)*$K$11*B50</f>
        <v>3367.6633267199995</v>
      </c>
      <c r="J27" s="20"/>
      <c r="K27" s="139"/>
      <c r="L27" s="152"/>
      <c r="M27" s="153">
        <f>(30+15+6)*$K$11*$B$50</f>
        <v>2683.6067134799996</v>
      </c>
      <c r="N27" s="166"/>
      <c r="O27" s="167">
        <f>(30+11+6)*$K$11*$B$50</f>
        <v>2473.1277555599995</v>
      </c>
      <c r="P27" s="21">
        <f t="shared" si="2"/>
        <v>0.050063287802845</v>
      </c>
      <c r="Q27" s="17" t="s">
        <v>39</v>
      </c>
      <c r="R27" s="95"/>
    </row>
    <row r="28" spans="1:18" ht="12.75">
      <c r="A28" s="17" t="s">
        <v>40</v>
      </c>
      <c r="B28" s="95"/>
      <c r="C28" s="124"/>
      <c r="D28" s="18">
        <f>I28*C3+M28*C5+O28*C6</f>
        <v>144282.25</v>
      </c>
      <c r="E28" s="125">
        <f>(C28+D28)</f>
        <v>144282.25</v>
      </c>
      <c r="F28" s="19">
        <f t="shared" si="1"/>
        <v>974321.3914812307</v>
      </c>
      <c r="G28" s="6">
        <f>(($C$3*(H28+I28))+($C$4*(J28+K28))+($C$5*(L28+M28))+($C$6*(N28+O28)))</f>
        <v>144282.25</v>
      </c>
      <c r="H28" s="138"/>
      <c r="I28" s="20">
        <f>4*K13</f>
        <v>5686</v>
      </c>
      <c r="J28" s="20"/>
      <c r="K28" s="139"/>
      <c r="L28" s="152"/>
      <c r="M28" s="153">
        <f>3.25*K13</f>
        <v>4619.875</v>
      </c>
      <c r="N28" s="166"/>
      <c r="O28" s="167">
        <f>2.5*K13</f>
        <v>3553.75</v>
      </c>
      <c r="P28" s="21">
        <f t="shared" si="2"/>
        <v>0.08151574332559171</v>
      </c>
      <c r="Q28" s="17" t="s">
        <v>40</v>
      </c>
      <c r="R28" s="95"/>
    </row>
    <row r="29" spans="1:18" ht="12.75">
      <c r="A29" s="17" t="s">
        <v>243</v>
      </c>
      <c r="B29" s="95"/>
      <c r="C29" s="124">
        <f>H29*$C$3+J29*$C$4+L29*$C$5+N29*$C$6</f>
        <v>15248.81818181818</v>
      </c>
      <c r="D29" s="18">
        <f>I29*$C$3+K29*$C$4+M29*$C$5+O29*$C$6</f>
        <v>0</v>
      </c>
      <c r="E29" s="125">
        <f>(C29+D29)</f>
        <v>15248.81818181818</v>
      </c>
      <c r="F29" s="19">
        <f t="shared" si="1"/>
        <v>989570.209663049</v>
      </c>
      <c r="G29" s="6">
        <f>(($C$3*(H29+I29))+($C$4*(J29+K29))+($C$5*(L29+M29))+($C$6*(N29+O29)))</f>
        <v>15248.81818181818</v>
      </c>
      <c r="H29" s="138">
        <f>((85000)/192500)*$K$13</f>
        <v>627.6753246753246</v>
      </c>
      <c r="I29" s="20">
        <v>0</v>
      </c>
      <c r="J29" s="20">
        <f>((30000)/192500)*$K$13</f>
        <v>221.53246753246754</v>
      </c>
      <c r="K29" s="139">
        <v>0</v>
      </c>
      <c r="L29" s="152">
        <f>((50000)/192500)*$K$13</f>
        <v>369.2207792207792</v>
      </c>
      <c r="M29" s="153">
        <v>0</v>
      </c>
      <c r="N29" s="166">
        <f>((30000)/192500)*$K$13</f>
        <v>221.53246753246754</v>
      </c>
      <c r="O29" s="167">
        <v>0</v>
      </c>
      <c r="P29" s="21">
        <f t="shared" si="2"/>
        <v>0.008615188278029396</v>
      </c>
      <c r="Q29" s="17" t="s">
        <v>243</v>
      </c>
      <c r="R29" s="95"/>
    </row>
    <row r="30" spans="1:18" ht="13.5" thickBot="1">
      <c r="A30" s="26" t="s">
        <v>242</v>
      </c>
      <c r="B30" s="97"/>
      <c r="C30" s="126">
        <f>SUM(C28:C29)*$K$10</f>
        <v>21348.34545454545</v>
      </c>
      <c r="D30" s="28">
        <f>SUM(D28:D29)*$K$10</f>
        <v>201995.15</v>
      </c>
      <c r="E30" s="127">
        <f>(C30+D30)</f>
        <v>223343.49545454545</v>
      </c>
      <c r="F30" s="55">
        <f t="shared" si="1"/>
        <v>1212913.7051175945</v>
      </c>
      <c r="G30" s="29">
        <f>(($C$3*(H30+I30))+($C$4*(J30+K30))+($C$5*(L30+M30))+($C$6*(N30+O30)))</f>
        <v>223343.49545454548</v>
      </c>
      <c r="H30" s="140">
        <f aca="true" t="shared" si="3" ref="H30:O30">(H28+H29)*$K$10</f>
        <v>878.7454545454544</v>
      </c>
      <c r="I30" s="111">
        <f t="shared" si="3"/>
        <v>7960.4</v>
      </c>
      <c r="J30" s="111">
        <f t="shared" si="3"/>
        <v>310.1454545454545</v>
      </c>
      <c r="K30" s="141">
        <f t="shared" si="3"/>
        <v>0</v>
      </c>
      <c r="L30" s="154">
        <f t="shared" si="3"/>
        <v>516.9090909090909</v>
      </c>
      <c r="M30" s="155">
        <f t="shared" si="3"/>
        <v>6467.825</v>
      </c>
      <c r="N30" s="168">
        <f t="shared" si="3"/>
        <v>310.1454545454545</v>
      </c>
      <c r="O30" s="169">
        <f t="shared" si="3"/>
        <v>4975.25</v>
      </c>
      <c r="P30" s="113">
        <f t="shared" si="2"/>
        <v>0.12618330424506954</v>
      </c>
      <c r="Q30" s="26" t="s">
        <v>242</v>
      </c>
      <c r="R30" s="97"/>
    </row>
    <row r="31" spans="1:18" ht="12.75">
      <c r="A31" s="110" t="s">
        <v>41</v>
      </c>
      <c r="B31" s="94"/>
      <c r="C31" s="128"/>
      <c r="D31" s="107"/>
      <c r="E31" s="129"/>
      <c r="F31" s="108"/>
      <c r="G31" s="2"/>
      <c r="H31" s="142"/>
      <c r="I31" s="109"/>
      <c r="J31" s="109"/>
      <c r="K31" s="143"/>
      <c r="L31" s="156"/>
      <c r="M31" s="157"/>
      <c r="N31" s="170"/>
      <c r="O31" s="171"/>
      <c r="P31" s="114"/>
      <c r="Q31" s="110" t="s">
        <v>41</v>
      </c>
      <c r="R31" s="94"/>
    </row>
    <row r="32" spans="1:18" ht="12.75">
      <c r="A32" s="17" t="s">
        <v>42</v>
      </c>
      <c r="B32" s="95"/>
      <c r="C32" s="124">
        <f>(H32*$C$3+J32*$C$4+L32*$C$5+N32*$C$6)</f>
        <v>74287.22077922078</v>
      </c>
      <c r="D32" s="18"/>
      <c r="E32" s="125">
        <f t="shared" si="0"/>
        <v>74287.22077922078</v>
      </c>
      <c r="F32" s="19">
        <f>F30+C32+D32</f>
        <v>1287200.9258968153</v>
      </c>
      <c r="G32" s="6">
        <f>(($C$3*(H32+I32))+($C$4*(J32+K32))+($C$5*(L32+M32))+($C$6*(N32+O32)))</f>
        <v>74287.22077922078</v>
      </c>
      <c r="H32" s="138">
        <f>((140000+200000+70000+0)/192500)*$K$13</f>
        <v>3027.6103896103896</v>
      </c>
      <c r="I32" s="20"/>
      <c r="J32" s="20">
        <f>((50000+75000+25000+0)/192500)*$K$13</f>
        <v>1107.6623376623377</v>
      </c>
      <c r="K32" s="139"/>
      <c r="L32" s="152">
        <f>((80000+120000+40000+0)/192500)*$K$13</f>
        <v>1772.2597402597403</v>
      </c>
      <c r="M32" s="153"/>
      <c r="N32" s="166">
        <f>((50000+75000+25000+0)/192500)*$K$13</f>
        <v>1107.6623376623377</v>
      </c>
      <c r="O32" s="167"/>
      <c r="P32" s="21">
        <f>G32/$F$40</f>
        <v>0.04197036032783328</v>
      </c>
      <c r="Q32" s="17" t="s">
        <v>42</v>
      </c>
      <c r="R32" s="95"/>
    </row>
    <row r="33" spans="1:18" ht="12.75">
      <c r="A33" s="17" t="s">
        <v>43</v>
      </c>
      <c r="B33" s="95"/>
      <c r="C33" s="124">
        <f>C32*K10</f>
        <v>104002.10909090909</v>
      </c>
      <c r="D33" s="18">
        <f>(D32)*K10</f>
        <v>0</v>
      </c>
      <c r="E33" s="125">
        <f t="shared" si="0"/>
        <v>104002.10909090909</v>
      </c>
      <c r="F33" s="19">
        <f>F32+C33+D33</f>
        <v>1391203.0349877244</v>
      </c>
      <c r="G33" s="6">
        <f>(($C$3*(H33+I33))+($C$4*(J33+K33))+($C$5*(L33+M33))+($C$6*(N33+O33)))</f>
        <v>104002.1090909091</v>
      </c>
      <c r="H33" s="138">
        <f aca="true" t="shared" si="4" ref="H33:O33">(H32)*$K$10</f>
        <v>4238.654545454545</v>
      </c>
      <c r="I33" s="20">
        <f t="shared" si="4"/>
        <v>0</v>
      </c>
      <c r="J33" s="20">
        <f t="shared" si="4"/>
        <v>1550.7272727272727</v>
      </c>
      <c r="K33" s="139">
        <f t="shared" si="4"/>
        <v>0</v>
      </c>
      <c r="L33" s="152">
        <f t="shared" si="4"/>
        <v>2481.163636363636</v>
      </c>
      <c r="M33" s="153">
        <f t="shared" si="4"/>
        <v>0</v>
      </c>
      <c r="N33" s="166">
        <f t="shared" si="4"/>
        <v>1550.7272727272727</v>
      </c>
      <c r="O33" s="167">
        <f t="shared" si="4"/>
        <v>0</v>
      </c>
      <c r="P33" s="21">
        <f>E33/$F$40</f>
        <v>0.0587585044589666</v>
      </c>
      <c r="Q33" s="17" t="s">
        <v>43</v>
      </c>
      <c r="R33" s="95"/>
    </row>
    <row r="34" spans="1:18" ht="12.75">
      <c r="A34" s="17" t="s">
        <v>44</v>
      </c>
      <c r="B34" s="95"/>
      <c r="C34" s="124">
        <f>(H34*$C$3+J34*$C$4+L34*$C$5+N34*$C$6)</f>
        <v>83790.67086719998</v>
      </c>
      <c r="D34" s="18"/>
      <c r="E34" s="125">
        <f t="shared" si="0"/>
        <v>83790.67086719998</v>
      </c>
      <c r="F34" s="19">
        <f t="shared" si="1"/>
        <v>1474993.7058549244</v>
      </c>
      <c r="G34" s="6">
        <f>(($C$3*H34)+($C$4*J34)+($C$5*L34)+($C$6*N34))</f>
        <v>83790.67086719998</v>
      </c>
      <c r="H34" s="138">
        <f>1280*B50</f>
        <v>3207.2984063999997</v>
      </c>
      <c r="I34" s="20">
        <v>0</v>
      </c>
      <c r="J34" s="20">
        <f>160*B50</f>
        <v>400.91230079999997</v>
      </c>
      <c r="K34" s="139">
        <v>0</v>
      </c>
      <c r="L34" s="152">
        <f>960*B50</f>
        <v>2405.4738048</v>
      </c>
      <c r="M34" s="153">
        <v>0</v>
      </c>
      <c r="N34" s="166">
        <f>800*B50</f>
        <v>2004.5615039999998</v>
      </c>
      <c r="O34" s="167"/>
      <c r="P34" s="21">
        <f>E34/$F$40</f>
        <v>0.04733956408005703</v>
      </c>
      <c r="Q34" s="17" t="s">
        <v>44</v>
      </c>
      <c r="R34" s="95"/>
    </row>
    <row r="35" spans="1:18" ht="13.5" thickBot="1">
      <c r="A35" s="26"/>
      <c r="B35" s="97"/>
      <c r="C35" s="126"/>
      <c r="D35" s="28"/>
      <c r="E35" s="127"/>
      <c r="F35" s="55"/>
      <c r="G35" s="29"/>
      <c r="H35" s="140"/>
      <c r="I35" s="111"/>
      <c r="J35" s="111"/>
      <c r="K35" s="141"/>
      <c r="L35" s="154"/>
      <c r="M35" s="155"/>
      <c r="N35" s="168"/>
      <c r="O35" s="169"/>
      <c r="P35" s="113"/>
      <c r="Q35" s="26"/>
      <c r="R35" s="97"/>
    </row>
    <row r="36" spans="1:24" s="24" customFormat="1" ht="12.75">
      <c r="A36" s="16" t="s">
        <v>45</v>
      </c>
      <c r="B36" s="96"/>
      <c r="C36" s="130">
        <f>SUM(C18:C32)+C33+C34</f>
        <v>663201.3367583186</v>
      </c>
      <c r="D36" s="19">
        <f>SUM(D18:D34)</f>
        <v>811792.3690966057</v>
      </c>
      <c r="E36" s="125">
        <f t="shared" si="0"/>
        <v>1474993.7058549244</v>
      </c>
      <c r="F36" s="19">
        <f>C36+D36</f>
        <v>1474993.7058549244</v>
      </c>
      <c r="G36" s="22">
        <f>(($C$3*(H36+I36))+($C$4*(J36+K36))+($C$5*(L36+M36))+($C$6*(N36+O36)))</f>
        <v>1474993.7058549244</v>
      </c>
      <c r="H36" s="144">
        <f aca="true" t="shared" si="5" ref="H36:O36">SUM(H18:H32)+H33+H34</f>
        <v>25769.22747572072</v>
      </c>
      <c r="I36" s="23">
        <f t="shared" si="5"/>
        <v>32100.146937355326</v>
      </c>
      <c r="J36" s="23">
        <f t="shared" si="5"/>
        <v>9798.347393907527</v>
      </c>
      <c r="K36" s="145">
        <f t="shared" si="5"/>
        <v>1797.8747078943748</v>
      </c>
      <c r="L36" s="158">
        <f t="shared" si="5"/>
        <v>16259.166882973248</v>
      </c>
      <c r="M36" s="159">
        <f t="shared" si="5"/>
        <v>24203.023434706633</v>
      </c>
      <c r="N36" s="172">
        <f t="shared" si="5"/>
        <v>10936.634436267526</v>
      </c>
      <c r="O36" s="173">
        <f t="shared" si="5"/>
        <v>19688.389665179282</v>
      </c>
      <c r="P36" s="21"/>
      <c r="Q36" s="16" t="s">
        <v>45</v>
      </c>
      <c r="R36" s="96"/>
      <c r="T36" s="4"/>
      <c r="W36" s="4"/>
      <c r="X36" s="4"/>
    </row>
    <row r="37" spans="1:18" ht="12.75">
      <c r="A37" s="17"/>
      <c r="B37" s="95"/>
      <c r="C37" s="124"/>
      <c r="D37" s="18"/>
      <c r="E37" s="125"/>
      <c r="F37" s="19"/>
      <c r="G37" s="6"/>
      <c r="H37" s="138"/>
      <c r="I37" s="20"/>
      <c r="J37" s="20"/>
      <c r="K37" s="139"/>
      <c r="L37" s="152"/>
      <c r="M37" s="153"/>
      <c r="N37" s="166"/>
      <c r="O37" s="167"/>
      <c r="P37" s="21"/>
      <c r="Q37" s="17"/>
      <c r="R37" s="95"/>
    </row>
    <row r="38" spans="1:18" ht="12.75">
      <c r="A38" s="17" t="s">
        <v>46</v>
      </c>
      <c r="B38" s="117">
        <v>0.2</v>
      </c>
      <c r="C38" s="124">
        <f>C36*($B$38)</f>
        <v>132640.26735166373</v>
      </c>
      <c r="D38" s="18">
        <f>D36*($B$38)</f>
        <v>162358.47381932114</v>
      </c>
      <c r="E38" s="125">
        <f t="shared" si="0"/>
        <v>294998.74117098487</v>
      </c>
      <c r="F38" s="19">
        <f>F36*($B$38)</f>
        <v>294998.74117098487</v>
      </c>
      <c r="G38" s="6">
        <f>(($C$3*(H38+I38))+($C$4*(J38+K38))+($C$5*(L38+M38))+($C$6*(N38+O38)))</f>
        <v>294998.74117098487</v>
      </c>
      <c r="H38" s="138">
        <f aca="true" t="shared" si="6" ref="H38:O38">H36*($B$38)</f>
        <v>5153.8454951441445</v>
      </c>
      <c r="I38" s="20">
        <f t="shared" si="6"/>
        <v>6420.029387471066</v>
      </c>
      <c r="J38" s="20">
        <f t="shared" si="6"/>
        <v>1959.6694787815054</v>
      </c>
      <c r="K38" s="139">
        <f t="shared" si="6"/>
        <v>359.574941578875</v>
      </c>
      <c r="L38" s="152">
        <f t="shared" si="6"/>
        <v>3251.83337659465</v>
      </c>
      <c r="M38" s="153">
        <f t="shared" si="6"/>
        <v>4840.604686941327</v>
      </c>
      <c r="N38" s="166">
        <f t="shared" si="6"/>
        <v>2187.3268872535054</v>
      </c>
      <c r="O38" s="167">
        <f t="shared" si="6"/>
        <v>3937.6779330358568</v>
      </c>
      <c r="P38" s="21">
        <f>F38/$F$40</f>
        <v>0.16666666666666666</v>
      </c>
      <c r="Q38" s="17" t="s">
        <v>46</v>
      </c>
      <c r="R38" s="95"/>
    </row>
    <row r="39" spans="1:18" ht="12.75">
      <c r="A39" s="17"/>
      <c r="B39" s="95"/>
      <c r="C39" s="131">
        <f>C40/F40</f>
        <v>0.4496299435894331</v>
      </c>
      <c r="D39" s="25">
        <f>D40/F40</f>
        <v>0.5503700564105668</v>
      </c>
      <c r="E39" s="125"/>
      <c r="F39" s="19"/>
      <c r="G39" s="6"/>
      <c r="H39" s="138"/>
      <c r="I39" s="20"/>
      <c r="J39" s="20"/>
      <c r="K39" s="139"/>
      <c r="L39" s="152"/>
      <c r="M39" s="153"/>
      <c r="N39" s="166"/>
      <c r="O39" s="167"/>
      <c r="P39" s="21"/>
      <c r="Q39" s="17"/>
      <c r="R39" s="95"/>
    </row>
    <row r="40" spans="1:24" s="24" customFormat="1" ht="13.5" thickBot="1">
      <c r="A40" s="118" t="s">
        <v>47</v>
      </c>
      <c r="B40" s="119"/>
      <c r="C40" s="132">
        <f>C36+C38</f>
        <v>795841.6041099823</v>
      </c>
      <c r="D40" s="55">
        <f>D36+D38</f>
        <v>974150.8429159268</v>
      </c>
      <c r="E40" s="133">
        <f t="shared" si="0"/>
        <v>1769992.447025909</v>
      </c>
      <c r="F40" s="19">
        <f>F36+F38</f>
        <v>1769992.4470259093</v>
      </c>
      <c r="G40" s="22">
        <f>(($C$3*(H40+I40))+($C$4*(J40+K40))+($C$5*(L40+M40))+($C$6*(N40+O40)))</f>
        <v>1769992.447025909</v>
      </c>
      <c r="H40" s="144">
        <f>H36+H38</f>
        <v>30923.072970864865</v>
      </c>
      <c r="I40" s="23">
        <f aca="true" t="shared" si="7" ref="I40:O40">I36+I38</f>
        <v>38520.17632482639</v>
      </c>
      <c r="J40" s="23">
        <f t="shared" si="7"/>
        <v>11758.016872689032</v>
      </c>
      <c r="K40" s="145">
        <f t="shared" si="7"/>
        <v>2157.44964947325</v>
      </c>
      <c r="L40" s="158">
        <f t="shared" si="7"/>
        <v>19511.000259567896</v>
      </c>
      <c r="M40" s="159">
        <f t="shared" si="7"/>
        <v>29043.62812164796</v>
      </c>
      <c r="N40" s="172">
        <f t="shared" si="7"/>
        <v>13123.96132352103</v>
      </c>
      <c r="O40" s="173">
        <f t="shared" si="7"/>
        <v>23626.067598215137</v>
      </c>
      <c r="P40" s="21">
        <f>SUM(P18:P32)+P33+P34+P38</f>
        <v>0.9999999999999998</v>
      </c>
      <c r="Q40" s="16" t="s">
        <v>47</v>
      </c>
      <c r="R40" s="96"/>
      <c r="T40" s="4"/>
      <c r="W40" s="4"/>
      <c r="X40" s="4"/>
    </row>
    <row r="41" spans="1:18" ht="12.75">
      <c r="A41" s="104"/>
      <c r="B41" s="105"/>
      <c r="C41" s="106"/>
      <c r="D41" s="106"/>
      <c r="E41" s="107"/>
      <c r="F41" s="108"/>
      <c r="G41" s="2"/>
      <c r="H41" s="142" t="s">
        <v>48</v>
      </c>
      <c r="I41" s="109" t="s">
        <v>49</v>
      </c>
      <c r="J41" s="109" t="s">
        <v>48</v>
      </c>
      <c r="K41" s="143" t="s">
        <v>49</v>
      </c>
      <c r="L41" s="156" t="s">
        <v>48</v>
      </c>
      <c r="M41" s="157" t="s">
        <v>49</v>
      </c>
      <c r="N41" s="170" t="s">
        <v>48</v>
      </c>
      <c r="O41" s="171" t="s">
        <v>49</v>
      </c>
      <c r="P41" s="3"/>
      <c r="Q41" s="104"/>
      <c r="R41" s="94"/>
    </row>
    <row r="42" spans="1:18" ht="13.5" thickBot="1">
      <c r="A42" s="26"/>
      <c r="B42" s="27"/>
      <c r="C42" s="28"/>
      <c r="D42" s="28"/>
      <c r="E42" s="28"/>
      <c r="F42" s="55"/>
      <c r="G42" s="29"/>
      <c r="H42" s="146">
        <f>H40/K11</f>
        <v>1472.5272843268983</v>
      </c>
      <c r="I42" s="30">
        <f>I40/I3</f>
        <v>3.8520176324826387</v>
      </c>
      <c r="J42" s="30">
        <f>J40/K11</f>
        <v>559.9055653661444</v>
      </c>
      <c r="K42" s="147">
        <f>K40/I4</f>
        <v>0.21574496494732498</v>
      </c>
      <c r="L42" s="160">
        <f>L40/K11</f>
        <v>929.0952504556141</v>
      </c>
      <c r="M42" s="161">
        <f>M40/I5</f>
        <v>4.149089731663994</v>
      </c>
      <c r="N42" s="174">
        <f>N40/K11</f>
        <v>624.9505392152872</v>
      </c>
      <c r="O42" s="175">
        <f>O40/I6</f>
        <v>3.375152514030734</v>
      </c>
      <c r="P42" s="31"/>
      <c r="Q42" s="26"/>
      <c r="R42" s="97"/>
    </row>
    <row r="43" spans="1:22" ht="13.5" thickBot="1">
      <c r="A43" s="33"/>
      <c r="B43" s="33"/>
      <c r="C43" s="33"/>
      <c r="D43" s="33"/>
      <c r="E43" s="33"/>
      <c r="F43" s="56"/>
      <c r="G43" s="33"/>
      <c r="H43" s="33"/>
      <c r="I43" s="33"/>
      <c r="J43" s="33"/>
      <c r="K43" s="33"/>
      <c r="L43" s="33"/>
      <c r="M43" s="33"/>
      <c r="N43" s="33"/>
      <c r="O43" s="33"/>
      <c r="Q43" s="33"/>
      <c r="R43" s="33"/>
      <c r="S43" s="33"/>
      <c r="U43" s="33"/>
      <c r="V43" s="33"/>
    </row>
    <row r="44" spans="1:22" ht="13.5" thickBot="1">
      <c r="A44" s="186"/>
      <c r="B44" s="187" t="s">
        <v>0</v>
      </c>
      <c r="C44" s="188"/>
      <c r="D44" s="188"/>
      <c r="E44" s="188"/>
      <c r="F44" s="187"/>
      <c r="G44" s="188"/>
      <c r="H44" s="187" t="s">
        <v>1</v>
      </c>
      <c r="I44" s="187"/>
      <c r="J44" s="189"/>
      <c r="K44" s="33"/>
      <c r="L44" s="33"/>
      <c r="M44" s="33"/>
      <c r="N44" s="33"/>
      <c r="O44" s="33"/>
      <c r="Q44" s="33"/>
      <c r="R44" s="33"/>
      <c r="S44" s="33"/>
      <c r="U44" s="33"/>
      <c r="V44" s="33"/>
    </row>
    <row r="45" spans="1:22" ht="13.5" thickBot="1">
      <c r="A45" s="186" t="s">
        <v>3</v>
      </c>
      <c r="B45" s="197">
        <f>($H$40+$J$40)/K11</f>
        <v>2032.4328496930427</v>
      </c>
      <c r="C45" s="188"/>
      <c r="D45" s="188"/>
      <c r="E45" s="188"/>
      <c r="F45" s="187"/>
      <c r="G45" s="188"/>
      <c r="H45" s="197">
        <f>I42+K42</f>
        <v>4.067762597429963</v>
      </c>
      <c r="I45" s="197"/>
      <c r="J45" s="199">
        <f>(B45*K11/I3)+H45</f>
        <v>8.335871581785353</v>
      </c>
      <c r="K45" s="34">
        <f>B45*K11+I3*H45</f>
        <v>83358.71581785353</v>
      </c>
      <c r="L45" s="34">
        <f>K45/21</f>
        <v>3969.4626579930255</v>
      </c>
      <c r="M45" s="77">
        <f>(K45/37876885)-1</f>
        <v>-0.9977992193439916</v>
      </c>
      <c r="O45" s="34">
        <f>B45*21</f>
        <v>42681.0898435539</v>
      </c>
      <c r="Q45" s="21">
        <f>(+J45/4795)-1</f>
        <v>-0.998261549200879</v>
      </c>
      <c r="R45" s="33"/>
      <c r="S45" s="33"/>
      <c r="U45" s="33"/>
      <c r="V45" s="33"/>
    </row>
    <row r="46" spans="1:22" ht="13.5" thickBot="1">
      <c r="A46" s="186" t="s">
        <v>292</v>
      </c>
      <c r="B46" s="197">
        <f>($L$40)/K11</f>
        <v>929.0952504556141</v>
      </c>
      <c r="C46" s="188"/>
      <c r="D46" s="188"/>
      <c r="E46" s="188"/>
      <c r="F46" s="187"/>
      <c r="G46" s="188"/>
      <c r="H46" s="197">
        <f>M42</f>
        <v>4.149089731663994</v>
      </c>
      <c r="I46" s="200"/>
      <c r="J46" s="199">
        <f>(B46*K11/I5)+H46</f>
        <v>6.936375483030837</v>
      </c>
      <c r="K46" s="34">
        <f>B46*21+H46*I5</f>
        <v>48554.62838121586</v>
      </c>
      <c r="L46" s="34">
        <f>K46/21</f>
        <v>2312.125161010279</v>
      </c>
      <c r="M46" s="77">
        <f>(K46/22067430)-1</f>
        <v>-0.997799715309793</v>
      </c>
      <c r="N46" s="33"/>
      <c r="O46" s="34">
        <f>H45*10000</f>
        <v>40677.62597429963</v>
      </c>
      <c r="Q46" s="21">
        <f>(+J46/4088)-1</f>
        <v>-0.9983032349601196</v>
      </c>
      <c r="R46" s="33"/>
      <c r="S46" s="33"/>
      <c r="U46" s="33"/>
      <c r="V46" s="33"/>
    </row>
    <row r="47" spans="1:22" ht="13.5" thickBot="1">
      <c r="A47" s="184" t="s">
        <v>291</v>
      </c>
      <c r="B47" s="198">
        <f>($N$40)/K11</f>
        <v>624.9505392152872</v>
      </c>
      <c r="C47" s="112"/>
      <c r="D47" s="112"/>
      <c r="E47" s="112"/>
      <c r="F47" s="185"/>
      <c r="G47" s="112"/>
      <c r="H47" s="198">
        <f>O42</f>
        <v>3.375152514030734</v>
      </c>
      <c r="I47" s="192"/>
      <c r="J47" s="199">
        <f>(B47*K11/I6)+H47</f>
        <v>5.2500041316765955</v>
      </c>
      <c r="K47" s="34">
        <f>B47*21+H47*I6</f>
        <v>36750.02892173617</v>
      </c>
      <c r="L47" s="34">
        <f>K47/21</f>
        <v>1750.001377225532</v>
      </c>
      <c r="M47" s="77">
        <f>(K47/16656803)-1</f>
        <v>-0.9977936925278076</v>
      </c>
      <c r="N47" s="33"/>
      <c r="O47" s="33"/>
      <c r="Q47" s="21">
        <f>(+J47/3096)-1</f>
        <v>-0.9983042622313706</v>
      </c>
      <c r="R47" s="33"/>
      <c r="S47" s="33"/>
      <c r="U47" s="33"/>
      <c r="V47" s="33"/>
    </row>
    <row r="48" spans="1:24" s="76" customFormat="1" ht="13.5" thickBot="1">
      <c r="A48" s="176"/>
      <c r="B48" s="176"/>
      <c r="F48" s="177"/>
      <c r="G48" s="34"/>
      <c r="H48" s="176"/>
      <c r="I48" s="178"/>
      <c r="J48" s="178"/>
      <c r="K48" s="178"/>
      <c r="L48" s="178"/>
      <c r="M48" s="178"/>
      <c r="N48" s="178"/>
      <c r="O48" s="178"/>
      <c r="P48" s="179"/>
      <c r="Q48" s="178"/>
      <c r="R48" s="178"/>
      <c r="S48" s="178"/>
      <c r="U48" s="178"/>
      <c r="V48" s="178"/>
      <c r="W48" s="4"/>
      <c r="X48" s="4"/>
    </row>
    <row r="49" spans="1:22" ht="13.5" thickBot="1">
      <c r="A49" s="85" t="s">
        <v>6</v>
      </c>
      <c r="B49" s="83"/>
      <c r="C49" s="83"/>
      <c r="D49" s="83"/>
      <c r="E49" s="83"/>
      <c r="F49" s="82"/>
      <c r="G49" s="190">
        <f>F49/164215675</f>
        <v>0</v>
      </c>
      <c r="H49" s="83"/>
      <c r="I49" s="83"/>
      <c r="J49" s="87"/>
      <c r="K49" s="33"/>
      <c r="L49" s="33"/>
      <c r="M49" s="33"/>
      <c r="N49" s="33"/>
      <c r="O49" s="33"/>
      <c r="Q49" s="33"/>
      <c r="R49" s="33"/>
      <c r="S49" s="33"/>
      <c r="U49" s="33"/>
      <c r="V49" s="33"/>
    </row>
    <row r="50" spans="1:22" ht="12.75">
      <c r="A50" s="5" t="s">
        <v>8</v>
      </c>
      <c r="B50" s="9">
        <f>1.38*B14</f>
        <v>2.5057018799999997</v>
      </c>
      <c r="C50" s="6"/>
      <c r="D50" s="6"/>
      <c r="E50" s="6"/>
      <c r="F50" s="22">
        <f>E18+E19+E20+E21+E22+E24+E27+E34+F38</f>
        <v>840003.6085682497</v>
      </c>
      <c r="G50" s="6"/>
      <c r="H50" s="6"/>
      <c r="I50" s="13">
        <f>(F50+F49)/F55</f>
        <v>0.47458033506283875</v>
      </c>
      <c r="J50" s="180"/>
      <c r="L50" s="33"/>
      <c r="M50" s="33"/>
      <c r="N50" s="33"/>
      <c r="O50" s="33"/>
      <c r="Q50" s="33"/>
      <c r="R50" s="33"/>
      <c r="S50" s="33"/>
      <c r="U50" s="33"/>
      <c r="V50" s="33"/>
    </row>
    <row r="51" spans="1:22" ht="12.75">
      <c r="A51" s="5" t="s">
        <v>10</v>
      </c>
      <c r="B51" s="194">
        <v>4.3</v>
      </c>
      <c r="C51" s="6"/>
      <c r="D51" s="6"/>
      <c r="E51" s="6"/>
      <c r="F51" s="22">
        <f>E25</f>
        <v>363295.61161783244</v>
      </c>
      <c r="G51" s="6"/>
      <c r="H51" s="6"/>
      <c r="I51" s="13">
        <f>F51/F55</f>
        <v>0.20525263383370504</v>
      </c>
      <c r="J51" s="180"/>
      <c r="L51" s="33"/>
      <c r="M51" s="33"/>
      <c r="N51" s="33"/>
      <c r="O51" s="33"/>
      <c r="Q51" s="33"/>
      <c r="R51" s="33"/>
      <c r="S51" s="33"/>
      <c r="U51" s="33"/>
      <c r="V51" s="33"/>
    </row>
    <row r="52" spans="1:22" ht="12.75">
      <c r="A52" s="5" t="str">
        <f>I13</f>
        <v>Salario min actual</v>
      </c>
      <c r="B52" s="6">
        <f>K13</f>
        <v>1421.5</v>
      </c>
      <c r="C52" s="6"/>
      <c r="D52" s="6"/>
      <c r="E52" s="6"/>
      <c r="F52" s="22">
        <f>E32+E28+E33+E29+E30</f>
        <v>561163.8935064935</v>
      </c>
      <c r="G52" s="6"/>
      <c r="H52" s="6"/>
      <c r="I52" s="13">
        <f>F52/F55</f>
        <v>0.3170431006354906</v>
      </c>
      <c r="J52" s="180"/>
      <c r="K52" s="33"/>
      <c r="L52" s="33"/>
      <c r="M52" s="33"/>
      <c r="N52" s="33"/>
      <c r="O52" s="33"/>
      <c r="Q52" s="33"/>
      <c r="R52" s="33"/>
      <c r="S52" s="33"/>
      <c r="U52" s="33"/>
      <c r="V52" s="33"/>
    </row>
    <row r="53" spans="1:22" ht="13.5" thickBot="1">
      <c r="A53" s="69" t="s">
        <v>15</v>
      </c>
      <c r="B53" s="181">
        <v>0.052</v>
      </c>
      <c r="C53" s="29"/>
      <c r="D53" s="29"/>
      <c r="E53" s="29"/>
      <c r="F53" s="80">
        <f>E26</f>
        <v>5529.333333333333</v>
      </c>
      <c r="G53" s="29"/>
      <c r="H53" s="29"/>
      <c r="I53" s="182">
        <f>F53/F55</f>
        <v>0.003123930467965661</v>
      </c>
      <c r="J53" s="183">
        <f>SUM(I50:I53)</f>
        <v>1</v>
      </c>
      <c r="K53" s="33"/>
      <c r="L53" s="33"/>
      <c r="M53" s="196">
        <v>40247</v>
      </c>
      <c r="N53" s="33" t="s">
        <v>300</v>
      </c>
      <c r="O53" s="33" t="s">
        <v>299</v>
      </c>
      <c r="Q53" s="33"/>
      <c r="R53" s="33" t="str">
        <f>O53</f>
        <v>julio08</v>
      </c>
      <c r="S53" s="33"/>
      <c r="U53" s="33"/>
      <c r="V53" s="33"/>
    </row>
    <row r="54" spans="1:22" ht="12.75">
      <c r="A54" s="33"/>
      <c r="B54" s="4">
        <v>102</v>
      </c>
      <c r="C54" s="33"/>
      <c r="D54" s="6"/>
      <c r="E54" s="7"/>
      <c r="F54" s="22"/>
      <c r="H54" s="12"/>
      <c r="N54" s="4" t="s">
        <v>0</v>
      </c>
      <c r="P54" s="193" t="s">
        <v>1</v>
      </c>
      <c r="S54" s="33"/>
      <c r="U54" s="33"/>
      <c r="V54" s="33"/>
    </row>
    <row r="55" spans="1:24" ht="12.75">
      <c r="A55" s="33"/>
      <c r="B55" s="33"/>
      <c r="C55" s="33"/>
      <c r="D55" s="12"/>
      <c r="E55" s="7"/>
      <c r="F55" s="22">
        <f>SUM(F49:F54)</f>
        <v>1769992.4470259089</v>
      </c>
      <c r="H55" s="57"/>
      <c r="L55" s="4" t="s">
        <v>3</v>
      </c>
      <c r="M55" s="4">
        <f>B45*1000</f>
        <v>2032432.8496930427</v>
      </c>
      <c r="N55" s="4">
        <v>1624565.1895264366</v>
      </c>
      <c r="O55" s="4">
        <v>1220071.827419604</v>
      </c>
      <c r="P55" s="4">
        <f>H45</f>
        <v>4.067762597429963</v>
      </c>
      <c r="Q55" s="193">
        <v>4030.2180240822277</v>
      </c>
      <c r="R55" s="4">
        <v>3133.5736333643063</v>
      </c>
      <c r="S55" s="4">
        <f>J45</f>
        <v>8.335871581785353</v>
      </c>
      <c r="T55" s="4">
        <v>7441.804922087745</v>
      </c>
      <c r="U55" s="4">
        <v>5695.724470945474</v>
      </c>
      <c r="V55" s="4">
        <f>K45/1000</f>
        <v>83.35871581785354</v>
      </c>
      <c r="W55" s="4">
        <f>(V55/S55)*T55</f>
        <v>74418.04922087745</v>
      </c>
      <c r="X55" s="4">
        <f>56957244.7094547/1000</f>
        <v>56957.2447094547</v>
      </c>
    </row>
    <row r="56" spans="1:24" ht="12.75">
      <c r="A56" s="33"/>
      <c r="B56" s="33"/>
      <c r="C56" s="33"/>
      <c r="D56" s="6"/>
      <c r="E56" s="6"/>
      <c r="F56" s="22"/>
      <c r="H56" s="6"/>
      <c r="L56" s="4" t="s">
        <v>292</v>
      </c>
      <c r="M56" s="4">
        <f>B46*1000</f>
        <v>929095.2504556141</v>
      </c>
      <c r="N56" s="4">
        <v>778336.4028478665</v>
      </c>
      <c r="O56" s="4">
        <v>586053.3446815088</v>
      </c>
      <c r="P56" s="4">
        <f>H46</f>
        <v>4.149089731663994</v>
      </c>
      <c r="Q56" s="193">
        <v>4011.644247613036</v>
      </c>
      <c r="R56" s="4">
        <v>3124.518013461665</v>
      </c>
      <c r="S56" s="4">
        <f>J46</f>
        <v>6.936375483030837</v>
      </c>
      <c r="T56" s="4">
        <v>6346.653456156636</v>
      </c>
      <c r="U56" s="4">
        <v>4882.678047506191</v>
      </c>
      <c r="V56" s="4">
        <f>K46/1000</f>
        <v>48.554628381215856</v>
      </c>
      <c r="W56" s="4">
        <f>(V56/S56)*T56</f>
        <v>44426.57419309645</v>
      </c>
      <c r="X56" s="4">
        <f>34178746.3325433/1000</f>
        <v>34178.7463325433</v>
      </c>
    </row>
    <row r="57" spans="1:24" ht="12.75">
      <c r="A57" s="33"/>
      <c r="B57" s="33"/>
      <c r="C57" s="33"/>
      <c r="D57" s="33"/>
      <c r="E57" s="33"/>
      <c r="F57" s="56"/>
      <c r="H57" s="33"/>
      <c r="L57" s="4" t="s">
        <v>291</v>
      </c>
      <c r="M57" s="4">
        <f>B47*1000</f>
        <v>624950.5392152872</v>
      </c>
      <c r="N57" s="4">
        <v>515878.22123562155</v>
      </c>
      <c r="O57" s="4">
        <v>389709.7474706246</v>
      </c>
      <c r="P57" s="4">
        <f>H47</f>
        <v>3.375152514030734</v>
      </c>
      <c r="Q57" s="193">
        <v>3230.5123055473214</v>
      </c>
      <c r="R57" s="4">
        <v>2522.555870281594</v>
      </c>
      <c r="S57" s="4">
        <f>J47</f>
        <v>5.2500041316765955</v>
      </c>
      <c r="T57" s="4">
        <v>4778.146969254186</v>
      </c>
      <c r="U57" s="4">
        <v>3691.6851126934675</v>
      </c>
      <c r="V57" s="4">
        <f>K47/1000</f>
        <v>36.750028921736174</v>
      </c>
      <c r="W57" s="4">
        <f>(V57/S57)*T57</f>
        <v>33447.02878477931</v>
      </c>
      <c r="X57" s="4">
        <f>25841795.7888543/1000</f>
        <v>25841.795788854302</v>
      </c>
    </row>
    <row r="58" spans="1:24" ht="12.75">
      <c r="A58" s="33"/>
      <c r="B58" s="33"/>
      <c r="C58" s="33"/>
      <c r="D58" s="33"/>
      <c r="E58" s="33"/>
      <c r="F58" s="56"/>
      <c r="H58" s="56"/>
      <c r="I58" s="56"/>
      <c r="J58" s="33"/>
      <c r="K58" s="33"/>
      <c r="L58" s="33"/>
      <c r="M58" s="33"/>
      <c r="N58" s="201"/>
      <c r="O58" s="178"/>
      <c r="P58" s="179"/>
      <c r="Q58" s="201"/>
      <c r="R58" s="178"/>
      <c r="S58" s="76"/>
      <c r="T58" s="201"/>
      <c r="U58" s="178"/>
      <c r="V58" s="76"/>
      <c r="W58" s="179"/>
      <c r="X58" s="179"/>
    </row>
    <row r="59" spans="1:24" ht="12.75">
      <c r="A59" s="56" t="s">
        <v>245</v>
      </c>
      <c r="B59" s="56" t="s">
        <v>246</v>
      </c>
      <c r="H59" s="24" t="s">
        <v>249</v>
      </c>
      <c r="I59" s="56" t="s">
        <v>247</v>
      </c>
      <c r="J59" s="56" t="s">
        <v>248</v>
      </c>
      <c r="K59" s="56" t="s">
        <v>250</v>
      </c>
      <c r="L59" s="56" t="s">
        <v>251</v>
      </c>
      <c r="M59" s="56" t="s">
        <v>252</v>
      </c>
      <c r="N59" s="201"/>
      <c r="O59" s="178"/>
      <c r="P59" s="179"/>
      <c r="Q59" s="201"/>
      <c r="R59" s="178"/>
      <c r="S59" s="76"/>
      <c r="T59" s="201"/>
      <c r="U59" s="178"/>
      <c r="V59" s="76"/>
      <c r="W59" s="179"/>
      <c r="X59" s="179"/>
    </row>
    <row r="60" spans="1:24" ht="12.75">
      <c r="A60" s="56" t="s">
        <v>253</v>
      </c>
      <c r="B60" s="56">
        <v>2</v>
      </c>
      <c r="H60" s="24">
        <f>($B$45)*B60</f>
        <v>4064.8656993860855</v>
      </c>
      <c r="I60" s="56">
        <v>953</v>
      </c>
      <c r="J60" s="24">
        <f>($H$45)*I60</f>
        <v>3876.577755350755</v>
      </c>
      <c r="K60" s="24">
        <f>+H60+J60</f>
        <v>7941.44345473684</v>
      </c>
      <c r="L60" s="24">
        <f>($B$46*B60)+($H$46*I60)</f>
        <v>5812.273015187015</v>
      </c>
      <c r="M60" s="24">
        <f>($B$47*B60)+($H$47*I60)</f>
        <v>4466.421424301864</v>
      </c>
      <c r="N60" s="201"/>
      <c r="O60" s="178"/>
      <c r="P60" s="179"/>
      <c r="Q60" s="201"/>
      <c r="R60" s="178"/>
      <c r="S60" s="76"/>
      <c r="T60" s="201"/>
      <c r="U60" s="178"/>
      <c r="V60" s="76"/>
      <c r="W60" s="179"/>
      <c r="X60" s="179"/>
    </row>
    <row r="61" spans="1:24" ht="12.75">
      <c r="A61" s="56" t="s">
        <v>286</v>
      </c>
      <c r="B61" s="56">
        <v>1</v>
      </c>
      <c r="H61" s="24">
        <f>($B$45)*B61</f>
        <v>2032.4328496930427</v>
      </c>
      <c r="I61" s="56">
        <f>63*2</f>
        <v>126</v>
      </c>
      <c r="J61" s="24">
        <f>($H$45)*I61</f>
        <v>512.5380872761754</v>
      </c>
      <c r="K61" s="24">
        <f>+H61+J61</f>
        <v>2544.970936969218</v>
      </c>
      <c r="L61" s="24">
        <f>($B$46*B61)+($H$46*I61)</f>
        <v>1451.8805566452775</v>
      </c>
      <c r="M61" s="24">
        <f>($B$47*B61)+($H$47*I61)</f>
        <v>1050.2197559831598</v>
      </c>
      <c r="N61" s="178"/>
      <c r="O61" s="178"/>
      <c r="P61" s="179"/>
      <c r="Q61" s="178"/>
      <c r="R61" s="178"/>
      <c r="S61" s="178"/>
      <c r="T61" s="76"/>
      <c r="U61" s="178"/>
      <c r="V61" s="76"/>
      <c r="W61" s="76"/>
      <c r="X61" s="201"/>
    </row>
    <row r="62" spans="1:24" ht="12.75">
      <c r="A62" s="33"/>
      <c r="B62" s="33"/>
      <c r="C62" s="33"/>
      <c r="D62" s="33"/>
      <c r="E62" s="33"/>
      <c r="F62" s="56"/>
      <c r="G62" s="33"/>
      <c r="J62" s="33"/>
      <c r="K62" s="33"/>
      <c r="L62" s="33"/>
      <c r="M62" s="33"/>
      <c r="N62" s="178"/>
      <c r="O62" s="178"/>
      <c r="P62" s="179"/>
      <c r="Q62" s="178"/>
      <c r="R62" s="178"/>
      <c r="S62" s="178"/>
      <c r="T62" s="76"/>
      <c r="U62" s="178"/>
      <c r="V62" s="76"/>
      <c r="W62" s="76"/>
      <c r="X62" s="201"/>
    </row>
    <row r="63" spans="1:24" ht="12.75">
      <c r="A63" s="33"/>
      <c r="B63" s="33"/>
      <c r="C63" s="33"/>
      <c r="D63" s="33"/>
      <c r="E63" s="33"/>
      <c r="F63" s="56"/>
      <c r="G63" s="33"/>
      <c r="J63" s="33"/>
      <c r="K63" s="33"/>
      <c r="L63" s="33"/>
      <c r="M63" s="33"/>
      <c r="N63" s="178"/>
      <c r="O63" s="178"/>
      <c r="P63" s="179"/>
      <c r="Q63" s="178"/>
      <c r="R63" s="178"/>
      <c r="S63" s="178"/>
      <c r="T63" s="76"/>
      <c r="U63" s="178"/>
      <c r="V63" s="76"/>
      <c r="W63" s="76"/>
      <c r="X63" s="201"/>
    </row>
    <row r="64" spans="1:24" ht="12.75">
      <c r="A64" s="33"/>
      <c r="B64" s="33"/>
      <c r="C64" s="33"/>
      <c r="D64" s="33"/>
      <c r="E64" s="33"/>
      <c r="F64" s="56"/>
      <c r="G64" s="33"/>
      <c r="J64" s="33"/>
      <c r="K64" s="33"/>
      <c r="L64" s="33"/>
      <c r="M64" s="33"/>
      <c r="N64" s="178"/>
      <c r="O64" s="178"/>
      <c r="P64" s="179"/>
      <c r="Q64" s="178"/>
      <c r="R64" s="178"/>
      <c r="S64" s="178"/>
      <c r="T64" s="76"/>
      <c r="U64" s="178"/>
      <c r="V64" s="76"/>
      <c r="W64" s="76"/>
      <c r="X64" s="76"/>
    </row>
    <row r="65" spans="4:24" ht="12.75">
      <c r="D65" s="4">
        <f>B46</f>
        <v>929.0952504556141</v>
      </c>
      <c r="E65" s="4">
        <f>H46</f>
        <v>4.149089731663994</v>
      </c>
      <c r="F65" s="4" t="s">
        <v>5</v>
      </c>
      <c r="G65" s="4">
        <f>B45</f>
        <v>2032.4328496930427</v>
      </c>
      <c r="H65" s="4">
        <f>H45</f>
        <v>4.067762597429963</v>
      </c>
      <c r="I65" s="33" t="s">
        <v>279</v>
      </c>
      <c r="K65" s="33"/>
      <c r="L65" s="33"/>
      <c r="M65" s="33"/>
      <c r="N65" s="178"/>
      <c r="O65" s="178"/>
      <c r="P65" s="179"/>
      <c r="Q65" s="178"/>
      <c r="R65" s="178"/>
      <c r="S65" s="178"/>
      <c r="T65" s="76"/>
      <c r="U65" s="178"/>
      <c r="V65" s="76"/>
      <c r="W65" s="76"/>
      <c r="X65" s="76"/>
    </row>
    <row r="66" spans="1:24" ht="12.75">
      <c r="A66" s="33" t="s">
        <v>280</v>
      </c>
      <c r="B66" s="75">
        <v>2.5</v>
      </c>
      <c r="C66" s="4">
        <v>936</v>
      </c>
      <c r="D66" s="33">
        <f aca="true" t="shared" si="8" ref="D66:D71">B66*$D$65</f>
        <v>2322.738126139035</v>
      </c>
      <c r="E66" s="33">
        <f aca="true" t="shared" si="9" ref="E66:E71">C66*$E$65</f>
        <v>3883.5479888374985</v>
      </c>
      <c r="F66" s="24">
        <f aca="true" t="shared" si="10" ref="F66:F71">D66+E66</f>
        <v>6206.286114976534</v>
      </c>
      <c r="G66" s="33">
        <f aca="true" t="shared" si="11" ref="G66:G71">B66*$G$65</f>
        <v>5081.0821242326065</v>
      </c>
      <c r="H66" s="33">
        <f aca="true" t="shared" si="12" ref="H66:H71">C66*$H$65</f>
        <v>3807.4257911944455</v>
      </c>
      <c r="I66" s="24">
        <f aca="true" t="shared" si="13" ref="I66:I71">G66+H66</f>
        <v>8888.507915427052</v>
      </c>
      <c r="J66" s="33"/>
      <c r="K66" s="33"/>
      <c r="L66" s="33"/>
      <c r="M66" s="33"/>
      <c r="N66" s="178"/>
      <c r="O66" s="178"/>
      <c r="P66" s="179"/>
      <c r="Q66" s="178"/>
      <c r="R66" s="178"/>
      <c r="S66" s="178"/>
      <c r="T66" s="76"/>
      <c r="U66" s="178"/>
      <c r="V66" s="76"/>
      <c r="W66" s="76"/>
      <c r="X66" s="76"/>
    </row>
    <row r="67" spans="1:24" ht="13.5" thickBot="1">
      <c r="A67" s="33" t="s">
        <v>281</v>
      </c>
      <c r="B67" s="75">
        <v>1</v>
      </c>
      <c r="C67" s="33">
        <v>316</v>
      </c>
      <c r="D67" s="33">
        <f t="shared" si="8"/>
        <v>929.0952504556141</v>
      </c>
      <c r="E67" s="33">
        <f t="shared" si="9"/>
        <v>1311.1123552058223</v>
      </c>
      <c r="F67" s="24">
        <f t="shared" si="10"/>
        <v>2240.2076056614364</v>
      </c>
      <c r="G67" s="33">
        <f t="shared" si="11"/>
        <v>2032.4328496930427</v>
      </c>
      <c r="H67" s="33">
        <f t="shared" si="12"/>
        <v>1285.4129807878685</v>
      </c>
      <c r="I67" s="24">
        <f t="shared" si="13"/>
        <v>3317.845830480911</v>
      </c>
      <c r="J67" s="33"/>
      <c r="K67" s="33"/>
      <c r="L67" s="33"/>
      <c r="M67" s="33"/>
      <c r="N67" s="178"/>
      <c r="O67" s="178"/>
      <c r="P67" s="179"/>
      <c r="Q67" s="178"/>
      <c r="R67" s="178"/>
      <c r="S67" s="178"/>
      <c r="T67" s="76"/>
      <c r="U67" s="178"/>
      <c r="V67" s="178"/>
      <c r="W67" s="76"/>
      <c r="X67" s="76"/>
    </row>
    <row r="68" spans="1:22" ht="13.5" thickBot="1">
      <c r="A68" s="33" t="s">
        <v>282</v>
      </c>
      <c r="B68" s="75">
        <v>3</v>
      </c>
      <c r="C68" s="33">
        <v>1550</v>
      </c>
      <c r="D68" s="33">
        <f t="shared" si="8"/>
        <v>2787.2857513668423</v>
      </c>
      <c r="E68" s="33">
        <f t="shared" si="9"/>
        <v>6431.089084079191</v>
      </c>
      <c r="F68" s="24">
        <f t="shared" si="10"/>
        <v>9218.374835446033</v>
      </c>
      <c r="G68" s="33">
        <f t="shared" si="11"/>
        <v>6097.298549079128</v>
      </c>
      <c r="H68" s="33">
        <f t="shared" si="12"/>
        <v>6305.0320260164435</v>
      </c>
      <c r="I68" s="24">
        <f>E68+H68</f>
        <v>12736.121110095635</v>
      </c>
      <c r="J68" s="33">
        <f>C68/2</f>
        <v>775</v>
      </c>
      <c r="K68" s="33">
        <f>J68*H45</f>
        <v>3152.5160130082218</v>
      </c>
      <c r="L68" s="33">
        <f>2*B45</f>
        <v>4064.8656993860855</v>
      </c>
      <c r="M68" s="187">
        <f>K68+L68</f>
        <v>7217.381712394307</v>
      </c>
      <c r="N68" s="187">
        <f>M68*1.2</f>
        <v>8660.858054873168</v>
      </c>
      <c r="O68" s="33"/>
      <c r="Q68" s="33"/>
      <c r="R68" s="33"/>
      <c r="S68" s="33"/>
      <c r="U68" s="33"/>
      <c r="V68" s="33"/>
    </row>
    <row r="69" spans="1:22" ht="12.75">
      <c r="A69" s="33" t="s">
        <v>283</v>
      </c>
      <c r="B69" s="75">
        <v>3</v>
      </c>
      <c r="C69" s="33">
        <v>1098</v>
      </c>
      <c r="D69" s="33">
        <f t="shared" si="8"/>
        <v>2787.2857513668423</v>
      </c>
      <c r="E69" s="33">
        <f t="shared" si="9"/>
        <v>4555.700525367066</v>
      </c>
      <c r="F69" s="24">
        <f t="shared" si="10"/>
        <v>7342.986276733908</v>
      </c>
      <c r="G69" s="33">
        <f t="shared" si="11"/>
        <v>6097.298549079128</v>
      </c>
      <c r="H69" s="33">
        <f t="shared" si="12"/>
        <v>4466.4033319781</v>
      </c>
      <c r="I69" s="24">
        <f t="shared" si="13"/>
        <v>10563.701881057228</v>
      </c>
      <c r="J69" s="33">
        <f>I68*1.2</f>
        <v>15283.34533211476</v>
      </c>
      <c r="K69" s="33"/>
      <c r="L69" s="33"/>
      <c r="M69" s="33"/>
      <c r="N69" s="33"/>
      <c r="O69" s="33"/>
      <c r="Q69" s="33"/>
      <c r="R69" s="33"/>
      <c r="S69" s="33"/>
      <c r="U69" s="33"/>
      <c r="V69" s="33"/>
    </row>
    <row r="70" spans="1:22" ht="12.75">
      <c r="A70" s="33" t="s">
        <v>284</v>
      </c>
      <c r="B70" s="75">
        <v>1</v>
      </c>
      <c r="C70" s="33">
        <v>110</v>
      </c>
      <c r="D70" s="33">
        <f t="shared" si="8"/>
        <v>929.0952504556141</v>
      </c>
      <c r="E70" s="33">
        <f t="shared" si="9"/>
        <v>456.39987048303936</v>
      </c>
      <c r="F70" s="24">
        <f t="shared" si="10"/>
        <v>1385.4951209386534</v>
      </c>
      <c r="G70" s="33">
        <f t="shared" si="11"/>
        <v>2032.4328496930427</v>
      </c>
      <c r="H70" s="33">
        <f t="shared" si="12"/>
        <v>447.453885717296</v>
      </c>
      <c r="I70" s="24">
        <f t="shared" si="13"/>
        <v>2479.8867354103386</v>
      </c>
      <c r="J70" s="4">
        <f>B45</f>
        <v>2032.4328496930427</v>
      </c>
      <c r="K70" s="33">
        <f>C70*H45</f>
        <v>447.453885717296</v>
      </c>
      <c r="L70" s="4">
        <f>J70+K70</f>
        <v>2479.8867354103386</v>
      </c>
      <c r="M70" s="33"/>
      <c r="N70" s="33"/>
      <c r="O70" s="33"/>
      <c r="Q70" s="33"/>
      <c r="R70" s="33"/>
      <c r="S70" s="33"/>
      <c r="U70" s="33"/>
      <c r="V70" s="33"/>
    </row>
    <row r="71" spans="1:22" ht="12.75">
      <c r="A71" s="33" t="s">
        <v>285</v>
      </c>
      <c r="B71" s="75">
        <v>2.5</v>
      </c>
      <c r="C71" s="33">
        <v>956</v>
      </c>
      <c r="D71" s="33">
        <f t="shared" si="8"/>
        <v>2322.738126139035</v>
      </c>
      <c r="E71" s="33">
        <f t="shared" si="9"/>
        <v>3966.5297834707785</v>
      </c>
      <c r="F71" s="24">
        <f t="shared" si="10"/>
        <v>6289.267909609814</v>
      </c>
      <c r="G71" s="33">
        <f t="shared" si="11"/>
        <v>5081.0821242326065</v>
      </c>
      <c r="H71" s="33">
        <f t="shared" si="12"/>
        <v>3888.781043143045</v>
      </c>
      <c r="I71" s="24">
        <f t="shared" si="13"/>
        <v>8969.863167375652</v>
      </c>
      <c r="J71" s="33"/>
      <c r="K71" s="33"/>
      <c r="L71" s="33">
        <f>L70*1.2</f>
        <v>2975.8640824924064</v>
      </c>
      <c r="M71" s="33"/>
      <c r="N71" s="33"/>
      <c r="O71" s="33"/>
      <c r="Q71" s="33"/>
      <c r="R71" s="33"/>
      <c r="S71" s="33"/>
      <c r="U71" s="33"/>
      <c r="V71" s="33"/>
    </row>
    <row r="72" spans="1:22" ht="12.75">
      <c r="A72" s="33"/>
      <c r="B72" s="75"/>
      <c r="C72" s="33"/>
      <c r="D72" s="33"/>
      <c r="E72" s="33"/>
      <c r="F72" s="56"/>
      <c r="G72" s="33"/>
      <c r="H72" s="33"/>
      <c r="I72" s="33"/>
      <c r="J72" s="33"/>
      <c r="K72" s="33"/>
      <c r="L72" s="33"/>
      <c r="M72" s="33"/>
      <c r="N72" s="33"/>
      <c r="O72" s="33"/>
      <c r="Q72" s="33"/>
      <c r="R72" s="33"/>
      <c r="S72" s="33"/>
      <c r="U72" s="33"/>
      <c r="V72" s="33"/>
    </row>
    <row r="73" spans="1:22" ht="12.75">
      <c r="A73" s="33"/>
      <c r="B73" s="75"/>
      <c r="C73" s="33"/>
      <c r="D73" s="33"/>
      <c r="E73" s="33"/>
      <c r="F73" s="56"/>
      <c r="G73" s="33"/>
      <c r="H73" s="33"/>
      <c r="I73" s="33"/>
      <c r="J73" s="33"/>
      <c r="K73" s="33"/>
      <c r="L73" s="33"/>
      <c r="M73" s="33"/>
      <c r="N73" s="33"/>
      <c r="O73" s="33"/>
      <c r="Q73" s="33"/>
      <c r="R73" s="33"/>
      <c r="S73" s="33"/>
      <c r="U73" s="33"/>
      <c r="V73" s="33"/>
    </row>
    <row r="74" spans="1:22" ht="12.75">
      <c r="A74" s="33"/>
      <c r="B74" s="75"/>
      <c r="C74" s="33"/>
      <c r="D74" s="33"/>
      <c r="E74" s="33"/>
      <c r="F74" s="56"/>
      <c r="G74" s="33"/>
      <c r="H74" s="33"/>
      <c r="I74" s="33"/>
      <c r="J74" s="33"/>
      <c r="K74" s="33"/>
      <c r="L74" s="33"/>
      <c r="M74" s="33"/>
      <c r="N74" s="33"/>
      <c r="O74" s="33"/>
      <c r="Q74" s="33"/>
      <c r="R74" s="33"/>
      <c r="S74" s="33"/>
      <c r="U74" s="33"/>
      <c r="V74" s="33"/>
    </row>
    <row r="75" spans="1:22" ht="12.75">
      <c r="A75" s="33"/>
      <c r="B75" s="75"/>
      <c r="C75" s="33"/>
      <c r="D75" s="33"/>
      <c r="E75" s="33"/>
      <c r="F75" s="56"/>
      <c r="G75" s="33"/>
      <c r="H75" s="33"/>
      <c r="I75" s="33"/>
      <c r="J75" s="33"/>
      <c r="K75" s="33"/>
      <c r="L75" s="33"/>
      <c r="M75" s="33"/>
      <c r="N75" s="33"/>
      <c r="O75" s="33"/>
      <c r="Q75" s="33"/>
      <c r="R75" s="33"/>
      <c r="S75" s="33"/>
      <c r="U75" s="33"/>
      <c r="V75" s="33"/>
    </row>
    <row r="76" spans="1:22" ht="12.75">
      <c r="A76" s="33"/>
      <c r="B76" s="75"/>
      <c r="C76" s="33"/>
      <c r="D76" s="33"/>
      <c r="E76" s="33"/>
      <c r="F76" s="56"/>
      <c r="G76" s="33"/>
      <c r="H76" s="33"/>
      <c r="I76" s="33"/>
      <c r="J76" s="33"/>
      <c r="K76" s="33"/>
      <c r="L76" s="33"/>
      <c r="M76" s="33"/>
      <c r="N76" s="33"/>
      <c r="O76" s="33"/>
      <c r="Q76" s="33"/>
      <c r="R76" s="33"/>
      <c r="S76" s="33"/>
      <c r="U76" s="33"/>
      <c r="V76" s="33"/>
    </row>
    <row r="77" spans="1:22" ht="12.75">
      <c r="A77" s="33"/>
      <c r="B77" s="75"/>
      <c r="C77" s="33"/>
      <c r="D77" s="33"/>
      <c r="E77" s="33"/>
      <c r="F77" s="56"/>
      <c r="G77" s="33"/>
      <c r="H77" s="33"/>
      <c r="I77" s="33"/>
      <c r="J77" s="33"/>
      <c r="K77" s="33"/>
      <c r="L77" s="33"/>
      <c r="M77" s="33"/>
      <c r="N77" s="33"/>
      <c r="O77" s="33"/>
      <c r="Q77" s="33"/>
      <c r="R77" s="33"/>
      <c r="S77" s="33"/>
      <c r="U77" s="33"/>
      <c r="V77" s="33"/>
    </row>
    <row r="78" spans="1:22" ht="12.75">
      <c r="A78" s="33"/>
      <c r="B78" s="75"/>
      <c r="C78" s="33"/>
      <c r="D78" s="33"/>
      <c r="E78" s="33"/>
      <c r="F78" s="56"/>
      <c r="G78" s="33"/>
      <c r="H78" s="33"/>
      <c r="I78" s="33"/>
      <c r="J78" s="33"/>
      <c r="K78" s="33"/>
      <c r="L78" s="33"/>
      <c r="M78" s="33"/>
      <c r="N78" s="33"/>
      <c r="O78" s="33"/>
      <c r="Q78" s="33"/>
      <c r="R78" s="33"/>
      <c r="S78" s="33"/>
      <c r="U78" s="33"/>
      <c r="V78" s="33"/>
    </row>
    <row r="79" spans="1:22" ht="12.75">
      <c r="A79" s="33"/>
      <c r="B79" s="75"/>
      <c r="C79" s="33"/>
      <c r="D79" s="33"/>
      <c r="E79" s="33"/>
      <c r="F79" s="56"/>
      <c r="G79" s="33"/>
      <c r="H79" s="33"/>
      <c r="I79" s="33"/>
      <c r="J79" s="33"/>
      <c r="K79" s="33"/>
      <c r="L79" s="33"/>
      <c r="M79" s="33"/>
      <c r="N79" s="33"/>
      <c r="O79" s="33"/>
      <c r="Q79" s="33"/>
      <c r="R79" s="33"/>
      <c r="S79" s="33"/>
      <c r="U79" s="33"/>
      <c r="V79" s="33"/>
    </row>
    <row r="80" spans="1:22" ht="12.75">
      <c r="A80" s="33"/>
      <c r="B80" s="75"/>
      <c r="C80" s="33"/>
      <c r="D80" s="33"/>
      <c r="E80" s="33"/>
      <c r="F80" s="56"/>
      <c r="G80" s="33"/>
      <c r="H80" s="33"/>
      <c r="I80" s="33"/>
      <c r="J80" s="33"/>
      <c r="K80" s="33"/>
      <c r="L80" s="33"/>
      <c r="M80" s="33"/>
      <c r="N80" s="33"/>
      <c r="O80" s="33"/>
      <c r="Q80" s="33"/>
      <c r="R80" s="33"/>
      <c r="S80" s="33"/>
      <c r="U80" s="33"/>
      <c r="V80" s="33"/>
    </row>
    <row r="81" spans="1:22" ht="12.75">
      <c r="A81" s="33"/>
      <c r="B81" s="75"/>
      <c r="C81" s="33"/>
      <c r="D81" s="33"/>
      <c r="E81" s="33"/>
      <c r="F81" s="56"/>
      <c r="G81" s="33"/>
      <c r="H81" s="33"/>
      <c r="I81" s="33"/>
      <c r="J81" s="33"/>
      <c r="K81" s="33"/>
      <c r="L81" s="33"/>
      <c r="M81" s="33"/>
      <c r="N81" s="33"/>
      <c r="O81" s="33"/>
      <c r="Q81" s="33"/>
      <c r="R81" s="33"/>
      <c r="S81" s="33"/>
      <c r="U81" s="33"/>
      <c r="V81" s="33"/>
    </row>
    <row r="82" spans="1:22" ht="12.75">
      <c r="A82" s="33"/>
      <c r="B82" s="75"/>
      <c r="C82" s="33"/>
      <c r="D82" s="33"/>
      <c r="E82" s="33"/>
      <c r="F82" s="56"/>
      <c r="G82" s="33"/>
      <c r="H82" s="33"/>
      <c r="I82" s="33"/>
      <c r="J82" s="33"/>
      <c r="K82" s="33"/>
      <c r="L82" s="33"/>
      <c r="M82" s="33"/>
      <c r="N82" s="33"/>
      <c r="O82" s="33"/>
      <c r="Q82" s="33"/>
      <c r="R82" s="33"/>
      <c r="S82" s="33"/>
      <c r="U82" s="33"/>
      <c r="V82" s="33"/>
    </row>
    <row r="83" spans="1:22" ht="12.75">
      <c r="A83" s="33"/>
      <c r="B83" s="75"/>
      <c r="C83" s="33"/>
      <c r="D83" s="33"/>
      <c r="E83" s="33"/>
      <c r="F83" s="56"/>
      <c r="G83" s="33"/>
      <c r="H83" s="33"/>
      <c r="I83" s="33"/>
      <c r="J83" s="33"/>
      <c r="K83" s="33"/>
      <c r="L83" s="33"/>
      <c r="M83" s="33"/>
      <c r="N83" s="33"/>
      <c r="O83" s="33"/>
      <c r="Q83" s="33"/>
      <c r="R83" s="33"/>
      <c r="S83" s="33"/>
      <c r="U83" s="33"/>
      <c r="V83" s="33"/>
    </row>
    <row r="84" spans="1:22" ht="12.75">
      <c r="A84" s="33"/>
      <c r="B84" s="33"/>
      <c r="C84" s="33"/>
      <c r="D84" s="33"/>
      <c r="E84" s="33"/>
      <c r="F84" s="56"/>
      <c r="G84" s="33"/>
      <c r="H84" s="33"/>
      <c r="I84" s="33"/>
      <c r="J84" s="33"/>
      <c r="K84" s="33"/>
      <c r="L84" s="33"/>
      <c r="M84" s="33"/>
      <c r="N84" s="33"/>
      <c r="O84" s="33"/>
      <c r="Q84" s="33"/>
      <c r="R84" s="33"/>
      <c r="S84" s="33"/>
      <c r="U84" s="33"/>
      <c r="V84" s="33"/>
    </row>
    <row r="85" spans="1:22" ht="12.75">
      <c r="A85" s="33"/>
      <c r="B85" s="33"/>
      <c r="C85" s="33"/>
      <c r="D85" s="33"/>
      <c r="E85" s="33"/>
      <c r="F85" s="56"/>
      <c r="G85" s="33"/>
      <c r="H85" s="33"/>
      <c r="I85" s="33"/>
      <c r="J85" s="33"/>
      <c r="K85" s="33"/>
      <c r="L85" s="33"/>
      <c r="M85" s="33"/>
      <c r="N85" s="33"/>
      <c r="O85" s="33"/>
      <c r="Q85" s="33"/>
      <c r="R85" s="33"/>
      <c r="S85" s="33"/>
      <c r="U85" s="33"/>
      <c r="V85" s="33"/>
    </row>
    <row r="86" spans="1:22" ht="12.75">
      <c r="A86" s="33"/>
      <c r="B86" s="33"/>
      <c r="C86" s="33"/>
      <c r="D86" s="33"/>
      <c r="E86" s="33"/>
      <c r="F86" s="56"/>
      <c r="G86" s="33"/>
      <c r="H86" s="33"/>
      <c r="I86" s="33"/>
      <c r="J86" s="33"/>
      <c r="K86" s="33"/>
      <c r="L86" s="33"/>
      <c r="M86" s="33"/>
      <c r="N86" s="33"/>
      <c r="O86" s="33"/>
      <c r="Q86" s="33"/>
      <c r="R86" s="33"/>
      <c r="S86" s="33"/>
      <c r="T86" s="33"/>
      <c r="U86" s="33"/>
      <c r="V86" s="33"/>
    </row>
    <row r="87" spans="1:22" ht="12.75">
      <c r="A87" s="33"/>
      <c r="B87" s="33"/>
      <c r="C87" s="33"/>
      <c r="D87" s="33"/>
      <c r="E87" s="33"/>
      <c r="F87" s="56"/>
      <c r="G87" s="33"/>
      <c r="H87" s="33"/>
      <c r="I87" s="33"/>
      <c r="J87" s="33"/>
      <c r="K87" s="33"/>
      <c r="L87" s="33"/>
      <c r="M87" s="33"/>
      <c r="N87" s="33"/>
      <c r="O87" s="33"/>
      <c r="Q87" s="33"/>
      <c r="R87" s="33"/>
      <c r="S87" s="33"/>
      <c r="T87" s="33"/>
      <c r="U87" s="33"/>
      <c r="V87" s="33"/>
    </row>
    <row r="88" spans="1:22" ht="12.75">
      <c r="A88" s="33"/>
      <c r="B88" s="33"/>
      <c r="C88" s="33"/>
      <c r="D88" s="33"/>
      <c r="E88" s="33"/>
      <c r="F88" s="56"/>
      <c r="G88" s="33"/>
      <c r="H88" s="33"/>
      <c r="I88" s="33"/>
      <c r="J88" s="33"/>
      <c r="K88" s="33"/>
      <c r="L88" s="33"/>
      <c r="M88" s="33"/>
      <c r="N88" s="33"/>
      <c r="O88" s="33"/>
      <c r="Q88" s="33"/>
      <c r="R88" s="33"/>
      <c r="S88" s="33"/>
      <c r="T88" s="33"/>
      <c r="U88" s="33"/>
      <c r="V88" s="33"/>
    </row>
    <row r="89" spans="1:22" ht="12.75">
      <c r="A89" s="33"/>
      <c r="B89" s="33"/>
      <c r="C89" s="33"/>
      <c r="D89" s="33"/>
      <c r="E89" s="33"/>
      <c r="F89" s="56"/>
      <c r="G89" s="33"/>
      <c r="H89" s="33"/>
      <c r="I89" s="33"/>
      <c r="J89" s="33"/>
      <c r="K89" s="33"/>
      <c r="L89" s="33"/>
      <c r="M89" s="33"/>
      <c r="N89" s="33"/>
      <c r="O89" s="33"/>
      <c r="Q89" s="33"/>
      <c r="R89" s="33"/>
      <c r="S89" s="33"/>
      <c r="T89" s="33"/>
      <c r="U89" s="33"/>
      <c r="V89" s="33"/>
    </row>
    <row r="90" spans="1:22" ht="12.75">
      <c r="A90" s="33"/>
      <c r="B90" s="33"/>
      <c r="C90" s="33"/>
      <c r="D90" s="33"/>
      <c r="E90" s="33"/>
      <c r="F90" s="56"/>
      <c r="G90" s="33"/>
      <c r="H90" s="33"/>
      <c r="I90" s="33"/>
      <c r="J90" s="33"/>
      <c r="K90" s="33"/>
      <c r="L90" s="33"/>
      <c r="M90" s="33"/>
      <c r="N90" s="33"/>
      <c r="O90" s="33"/>
      <c r="Q90" s="33"/>
      <c r="R90" s="33"/>
      <c r="S90" s="33"/>
      <c r="T90" s="33"/>
      <c r="U90" s="33"/>
      <c r="V90" s="33"/>
    </row>
    <row r="91" spans="1:22" ht="12.75">
      <c r="A91" s="33"/>
      <c r="B91" s="33"/>
      <c r="C91" s="33"/>
      <c r="D91" s="33"/>
      <c r="E91" s="33"/>
      <c r="F91" s="56"/>
      <c r="G91" s="33"/>
      <c r="H91" s="33"/>
      <c r="I91" s="33"/>
      <c r="J91" s="33"/>
      <c r="K91" s="33"/>
      <c r="L91" s="33"/>
      <c r="M91" s="33"/>
      <c r="N91" s="33"/>
      <c r="O91" s="33"/>
      <c r="Q91" s="33"/>
      <c r="R91" s="33"/>
      <c r="S91" s="33"/>
      <c r="T91" s="33"/>
      <c r="U91" s="33"/>
      <c r="V91" s="33"/>
    </row>
    <row r="92" spans="1:22" ht="12.75">
      <c r="A92" s="33"/>
      <c r="B92" s="33"/>
      <c r="C92" s="33"/>
      <c r="D92" s="33"/>
      <c r="E92" s="33"/>
      <c r="F92" s="56"/>
      <c r="G92" s="33"/>
      <c r="H92" s="33"/>
      <c r="I92" s="33"/>
      <c r="J92" s="33"/>
      <c r="K92" s="33"/>
      <c r="L92" s="33"/>
      <c r="M92" s="33"/>
      <c r="N92" s="33"/>
      <c r="O92" s="33"/>
      <c r="Q92" s="33"/>
      <c r="R92" s="33"/>
      <c r="S92" s="33"/>
      <c r="T92" s="33"/>
      <c r="U92" s="33"/>
      <c r="V92" s="33"/>
    </row>
    <row r="93" spans="1:22" ht="12.75">
      <c r="A93" s="33"/>
      <c r="B93" s="33"/>
      <c r="C93" s="33"/>
      <c r="D93" s="33"/>
      <c r="E93" s="33"/>
      <c r="F93" s="56"/>
      <c r="G93" s="33"/>
      <c r="H93" s="33"/>
      <c r="I93" s="33"/>
      <c r="J93" s="33"/>
      <c r="K93" s="33"/>
      <c r="L93" s="33"/>
      <c r="M93" s="33"/>
      <c r="N93" s="33"/>
      <c r="O93" s="33"/>
      <c r="Q93" s="33"/>
      <c r="R93" s="33"/>
      <c r="S93" s="33"/>
      <c r="T93" s="33"/>
      <c r="U93" s="33"/>
      <c r="V93" s="33"/>
    </row>
    <row r="94" spans="1:22" ht="12.75">
      <c r="A94" s="33"/>
      <c r="B94" s="33"/>
      <c r="C94" s="33"/>
      <c r="D94" s="33"/>
      <c r="E94" s="33"/>
      <c r="F94" s="56"/>
      <c r="G94" s="33"/>
      <c r="H94" s="33"/>
      <c r="I94" s="33"/>
      <c r="J94" s="33"/>
      <c r="K94" s="33"/>
      <c r="L94" s="33"/>
      <c r="M94" s="33"/>
      <c r="N94" s="33"/>
      <c r="O94" s="33"/>
      <c r="Q94" s="33"/>
      <c r="R94" s="33"/>
      <c r="S94" s="33"/>
      <c r="T94" s="33"/>
      <c r="U94" s="33"/>
      <c r="V94" s="33"/>
    </row>
    <row r="95" spans="1:22" ht="12.75">
      <c r="A95" s="33"/>
      <c r="B95" s="33"/>
      <c r="C95" s="33"/>
      <c r="D95" s="33"/>
      <c r="E95" s="33"/>
      <c r="F95" s="56"/>
      <c r="G95" s="33"/>
      <c r="H95" s="33"/>
      <c r="I95" s="33"/>
      <c r="J95" s="33"/>
      <c r="K95" s="33"/>
      <c r="L95" s="33"/>
      <c r="M95" s="33"/>
      <c r="N95" s="33"/>
      <c r="O95" s="33"/>
      <c r="Q95" s="33"/>
      <c r="R95" s="33"/>
      <c r="S95" s="33"/>
      <c r="T95" s="33"/>
      <c r="U95" s="33"/>
      <c r="V95" s="33"/>
    </row>
    <row r="96" spans="1:22" ht="12.75">
      <c r="A96" s="33"/>
      <c r="B96" s="33"/>
      <c r="C96" s="33"/>
      <c r="D96" s="33"/>
      <c r="E96" s="33"/>
      <c r="F96" s="56"/>
      <c r="G96" s="33"/>
      <c r="H96" s="33"/>
      <c r="I96" s="33"/>
      <c r="J96" s="33"/>
      <c r="K96" s="33"/>
      <c r="L96" s="33"/>
      <c r="M96" s="33"/>
      <c r="N96" s="33"/>
      <c r="O96" s="33"/>
      <c r="Q96" s="33"/>
      <c r="R96" s="33"/>
      <c r="S96" s="33"/>
      <c r="T96" s="33"/>
      <c r="U96" s="33"/>
      <c r="V96" s="33"/>
    </row>
    <row r="97" spans="1:22" ht="12.75">
      <c r="A97" s="33"/>
      <c r="B97" s="33"/>
      <c r="C97" s="33"/>
      <c r="D97" s="33"/>
      <c r="E97" s="33"/>
      <c r="F97" s="56"/>
      <c r="G97" s="33"/>
      <c r="H97" s="33"/>
      <c r="I97" s="33"/>
      <c r="J97" s="33"/>
      <c r="K97" s="33"/>
      <c r="L97" s="33"/>
      <c r="M97" s="33"/>
      <c r="N97" s="33"/>
      <c r="O97" s="33"/>
      <c r="Q97" s="33"/>
      <c r="R97" s="33"/>
      <c r="S97" s="33"/>
      <c r="T97" s="33"/>
      <c r="U97" s="33"/>
      <c r="V97" s="33"/>
    </row>
    <row r="98" spans="1:22" ht="12.75">
      <c r="A98" s="33"/>
      <c r="B98" s="33"/>
      <c r="C98" s="33"/>
      <c r="D98" s="33"/>
      <c r="E98" s="33"/>
      <c r="F98" s="56"/>
      <c r="G98" s="33"/>
      <c r="H98" s="33"/>
      <c r="I98" s="33"/>
      <c r="J98" s="33"/>
      <c r="K98" s="33"/>
      <c r="L98" s="33"/>
      <c r="M98" s="33"/>
      <c r="N98" s="33"/>
      <c r="O98" s="33"/>
      <c r="Q98" s="33"/>
      <c r="R98" s="33"/>
      <c r="S98" s="33"/>
      <c r="T98" s="33"/>
      <c r="U98" s="33"/>
      <c r="V98" s="33"/>
    </row>
    <row r="99" spans="1:22" ht="12.75">
      <c r="A99" s="33"/>
      <c r="B99" s="33"/>
      <c r="C99" s="33"/>
      <c r="D99" s="33"/>
      <c r="E99" s="33"/>
      <c r="F99" s="56"/>
      <c r="G99" s="33"/>
      <c r="H99" s="33"/>
      <c r="I99" s="33"/>
      <c r="J99" s="33"/>
      <c r="K99" s="33"/>
      <c r="L99" s="33"/>
      <c r="M99" s="33"/>
      <c r="N99" s="33"/>
      <c r="O99" s="33"/>
      <c r="Q99" s="33"/>
      <c r="R99" s="33"/>
      <c r="S99" s="33"/>
      <c r="T99" s="33"/>
      <c r="U99" s="33"/>
      <c r="V99" s="33"/>
    </row>
    <row r="100" spans="1:22" ht="12.75">
      <c r="A100" s="33"/>
      <c r="B100" s="33"/>
      <c r="C100" s="33"/>
      <c r="D100" s="33"/>
      <c r="E100" s="33"/>
      <c r="F100" s="56"/>
      <c r="G100" s="33"/>
      <c r="H100" s="33"/>
      <c r="I100" s="33"/>
      <c r="J100" s="33"/>
      <c r="K100" s="33"/>
      <c r="L100" s="33"/>
      <c r="M100" s="33"/>
      <c r="N100" s="33"/>
      <c r="O100" s="33"/>
      <c r="Q100" s="33"/>
      <c r="R100" s="33"/>
      <c r="S100" s="33"/>
      <c r="T100" s="33"/>
      <c r="U100" s="33"/>
      <c r="V100" s="33"/>
    </row>
    <row r="101" spans="1:22" ht="12.75">
      <c r="A101" s="33"/>
      <c r="B101" s="33"/>
      <c r="C101" s="33"/>
      <c r="D101" s="33"/>
      <c r="E101" s="33"/>
      <c r="F101" s="56"/>
      <c r="G101" s="33"/>
      <c r="H101" s="33"/>
      <c r="I101" s="33"/>
      <c r="J101" s="33"/>
      <c r="K101" s="33"/>
      <c r="L101" s="33"/>
      <c r="M101" s="33"/>
      <c r="N101" s="33"/>
      <c r="O101" s="33"/>
      <c r="Q101" s="33"/>
      <c r="R101" s="33"/>
      <c r="S101" s="33"/>
      <c r="T101" s="33"/>
      <c r="U101" s="33"/>
      <c r="V101" s="33"/>
    </row>
    <row r="102" spans="1:22" ht="12.75">
      <c r="A102" s="33"/>
      <c r="B102" s="33"/>
      <c r="C102" s="33"/>
      <c r="D102" s="33"/>
      <c r="E102" s="33"/>
      <c r="F102" s="56"/>
      <c r="G102" s="33"/>
      <c r="H102" s="33"/>
      <c r="I102" s="33"/>
      <c r="J102" s="33"/>
      <c r="K102" s="33"/>
      <c r="L102" s="33"/>
      <c r="M102" s="33"/>
      <c r="N102" s="33"/>
      <c r="O102" s="33"/>
      <c r="Q102" s="33"/>
      <c r="R102" s="33"/>
      <c r="S102" s="33"/>
      <c r="T102" s="33"/>
      <c r="U102" s="33"/>
      <c r="V102" s="33"/>
    </row>
    <row r="103" spans="1:22" ht="12.75">
      <c r="A103" s="33"/>
      <c r="B103" s="33"/>
      <c r="C103" s="33"/>
      <c r="D103" s="33"/>
      <c r="E103" s="33"/>
      <c r="F103" s="56"/>
      <c r="G103" s="33"/>
      <c r="H103" s="33"/>
      <c r="I103" s="33"/>
      <c r="J103" s="33"/>
      <c r="K103" s="33"/>
      <c r="L103" s="33"/>
      <c r="M103" s="33"/>
      <c r="N103" s="33"/>
      <c r="O103" s="33"/>
      <c r="Q103" s="33"/>
      <c r="R103" s="33"/>
      <c r="S103" s="33"/>
      <c r="T103" s="33"/>
      <c r="U103" s="33"/>
      <c r="V103" s="3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0.421875" style="4" customWidth="1"/>
    <col min="2" max="2" width="12.140625" style="4" customWidth="1"/>
    <col min="3" max="3" width="10.8515625" style="4" customWidth="1"/>
    <col min="4" max="4" width="12.8515625" style="4" customWidth="1"/>
    <col min="5" max="5" width="13.28125" style="4" bestFit="1" customWidth="1"/>
    <col min="6" max="6" width="11.7109375" style="24" hidden="1" customWidth="1"/>
    <col min="7" max="7" width="11.57421875" style="4" hidden="1" customWidth="1"/>
    <col min="8" max="8" width="11.57421875" style="4" customWidth="1"/>
    <col min="9" max="9" width="11.140625" style="4" customWidth="1"/>
    <col min="10" max="10" width="10.140625" style="4" customWidth="1"/>
    <col min="11" max="11" width="12.140625" style="4" bestFit="1" customWidth="1"/>
    <col min="12" max="12" width="10.140625" style="4" customWidth="1"/>
    <col min="13" max="13" width="12.140625" style="4" bestFit="1" customWidth="1"/>
    <col min="14" max="14" width="10.28125" style="4" bestFit="1" customWidth="1"/>
    <col min="15" max="15" width="10.8515625" style="4" customWidth="1"/>
    <col min="16" max="16" width="7.8515625" style="32" customWidth="1"/>
    <col min="17" max="17" width="14.421875" style="4" customWidth="1"/>
    <col min="18" max="18" width="13.7109375" style="4" customWidth="1"/>
    <col min="19" max="20" width="11.421875" style="4" customWidth="1"/>
    <col min="21" max="21" width="10.8515625" style="4" customWidth="1"/>
    <col min="22" max="23" width="6.7109375" style="4" bestFit="1" customWidth="1"/>
    <col min="24" max="24" width="8.421875" style="4" bestFit="1" customWidth="1"/>
    <col min="25" max="25" width="12.28125" style="4" bestFit="1" customWidth="1"/>
    <col min="26" max="26" width="10.8515625" style="4" bestFit="1" customWidth="1"/>
    <col min="27" max="27" width="13.8515625" style="4" bestFit="1" customWidth="1"/>
    <col min="28" max="28" width="11.00390625" style="4" customWidth="1"/>
    <col min="29" max="29" width="13.00390625" style="4" bestFit="1" customWidth="1"/>
    <col min="30" max="30" width="12.28125" style="4" bestFit="1" customWidth="1"/>
    <col min="31" max="31" width="13.140625" style="4" bestFit="1" customWidth="1"/>
    <col min="32" max="32" width="12.8515625" style="4" bestFit="1" customWidth="1"/>
    <col min="33" max="33" width="16.57421875" style="4" bestFit="1" customWidth="1"/>
    <col min="34" max="34" width="12.00390625" style="4" customWidth="1"/>
    <col min="35" max="35" width="11.57421875" style="4" bestFit="1" customWidth="1"/>
    <col min="36" max="36" width="13.7109375" style="4" bestFit="1" customWidth="1"/>
    <col min="37" max="37" width="12.28125" style="4" customWidth="1"/>
    <col min="38" max="38" width="12.7109375" style="4" bestFit="1" customWidth="1"/>
    <col min="39" max="39" width="10.8515625" style="4" bestFit="1" customWidth="1"/>
    <col min="40" max="40" width="11.28125" style="4" bestFit="1" customWidth="1"/>
    <col min="41" max="41" width="13.00390625" style="4" bestFit="1" customWidth="1"/>
    <col min="42" max="42" width="14.421875" style="4" bestFit="1" customWidth="1"/>
    <col min="43" max="43" width="12.421875" style="4" bestFit="1" customWidth="1"/>
    <col min="44" max="44" width="11.57421875" style="4" bestFit="1" customWidth="1"/>
    <col min="45" max="45" width="12.00390625" style="4" bestFit="1" customWidth="1"/>
    <col min="46" max="46" width="12.28125" style="4" bestFit="1" customWidth="1"/>
    <col min="47" max="47" width="13.7109375" style="4" customWidth="1"/>
    <col min="48" max="48" width="10.57421875" style="4" bestFit="1" customWidth="1"/>
    <col min="49" max="49" width="10.57421875" style="4" customWidth="1"/>
    <col min="50" max="50" width="12.28125" style="4" customWidth="1"/>
    <col min="51" max="51" width="11.28125" style="4" customWidth="1"/>
    <col min="52" max="52" width="11.57421875" style="4" customWidth="1"/>
    <col min="53" max="53" width="12.00390625" style="4" customWidth="1"/>
    <col min="54" max="54" width="11.57421875" style="4" customWidth="1"/>
    <col min="55" max="56" width="12.140625" style="4" customWidth="1"/>
    <col min="57" max="57" width="10.8515625" style="4" customWidth="1"/>
    <col min="58" max="58" width="11.57421875" style="4" customWidth="1"/>
    <col min="59" max="60" width="13.57421875" style="4" bestFit="1" customWidth="1"/>
    <col min="61" max="61" width="17.28125" style="4" customWidth="1"/>
    <col min="62" max="62" width="13.57421875" style="4" bestFit="1" customWidth="1"/>
    <col min="63" max="63" width="17.28125" style="4" customWidth="1"/>
    <col min="64" max="64" width="11.421875" style="4" customWidth="1"/>
    <col min="65" max="65" width="12.421875" style="4" customWidth="1"/>
    <col min="66" max="73" width="11.421875" style="4" customWidth="1"/>
    <col min="74" max="100" width="0" style="4" hidden="1" customWidth="1"/>
    <col min="101" max="101" width="12.57421875" style="4" hidden="1" customWidth="1"/>
    <col min="102" max="128" width="0" style="4" hidden="1" customWidth="1"/>
    <col min="129" max="130" width="12.7109375" style="4" hidden="1" customWidth="1"/>
    <col min="131" max="134" width="0" style="4" hidden="1" customWidth="1"/>
    <col min="135" max="135" width="12.57421875" style="4" hidden="1" customWidth="1"/>
    <col min="136" max="137" width="0" style="4" hidden="1" customWidth="1"/>
    <col min="138" max="138" width="12.00390625" style="4" hidden="1" customWidth="1"/>
    <col min="139" max="140" width="0" style="4" hidden="1" customWidth="1"/>
    <col min="141" max="141" width="12.7109375" style="4" hidden="1" customWidth="1"/>
    <col min="142" max="143" width="0" style="4" hidden="1" customWidth="1"/>
    <col min="144" max="144" width="12.7109375" style="4" hidden="1" customWidth="1"/>
    <col min="145" max="146" width="0" style="4" hidden="1" customWidth="1"/>
    <col min="147" max="147" width="13.28125" style="4" hidden="1" customWidth="1"/>
    <col min="148" max="152" width="0" style="4" hidden="1" customWidth="1"/>
    <col min="153" max="153" width="13.421875" style="4" hidden="1" customWidth="1"/>
    <col min="154" max="155" width="0" style="4" hidden="1" customWidth="1"/>
    <col min="156" max="156" width="14.7109375" style="4" customWidth="1"/>
    <col min="157" max="157" width="14.00390625" style="4" customWidth="1"/>
    <col min="158" max="158" width="11.421875" style="4" customWidth="1"/>
    <col min="159" max="159" width="13.421875" style="4" customWidth="1"/>
    <col min="160" max="160" width="13.57421875" style="4" bestFit="1" customWidth="1"/>
    <col min="161" max="16384" width="11.421875" style="4" customWidth="1"/>
  </cols>
  <sheetData>
    <row r="1" spans="1:16" ht="13.5" thickBot="1">
      <c r="A1" s="85" t="s">
        <v>257</v>
      </c>
      <c r="B1" s="83"/>
      <c r="C1" s="83"/>
      <c r="D1" s="83"/>
      <c r="E1" s="83"/>
      <c r="F1" s="82"/>
      <c r="G1" s="83"/>
      <c r="H1" s="83"/>
      <c r="I1" s="86"/>
      <c r="J1" s="83"/>
      <c r="K1" s="87"/>
      <c r="L1" s="2"/>
      <c r="M1" s="2"/>
      <c r="N1" s="2"/>
      <c r="O1" s="2"/>
      <c r="P1" s="3"/>
    </row>
    <row r="2" spans="1:17" ht="12.75">
      <c r="A2" s="53" t="s">
        <v>238</v>
      </c>
      <c r="B2" s="6"/>
      <c r="C2" s="6"/>
      <c r="D2" s="6"/>
      <c r="E2" s="6"/>
      <c r="F2" s="22"/>
      <c r="G2" s="6"/>
      <c r="H2" s="6" t="s">
        <v>254</v>
      </c>
      <c r="I2" s="6" t="s">
        <v>239</v>
      </c>
      <c r="J2" s="6" t="s">
        <v>240</v>
      </c>
      <c r="K2" s="67" t="s">
        <v>241</v>
      </c>
      <c r="M2" s="6"/>
      <c r="N2" s="6"/>
      <c r="O2" s="6"/>
      <c r="P2" s="8"/>
      <c r="Q2" s="77"/>
    </row>
    <row r="3" spans="1:16" ht="12.75">
      <c r="A3" s="53" t="s">
        <v>2</v>
      </c>
      <c r="B3" s="6">
        <f>149500*B50</f>
        <v>374602.43106</v>
      </c>
      <c r="C3" s="6">
        <v>11</v>
      </c>
      <c r="D3" s="6">
        <f>C3*B3</f>
        <v>4120626.74166</v>
      </c>
      <c r="E3" s="6"/>
      <c r="F3" s="22"/>
      <c r="G3" s="6"/>
      <c r="H3" s="9">
        <f>'Costos Km'!L77</f>
        <v>1.4565490615115322</v>
      </c>
      <c r="I3" s="6">
        <v>10000</v>
      </c>
      <c r="J3" s="6">
        <f>H3*I3</f>
        <v>14565.490615115323</v>
      </c>
      <c r="K3" s="67">
        <f>J3*C3</f>
        <v>160220.39676626856</v>
      </c>
      <c r="M3" s="6"/>
      <c r="N3" s="6"/>
      <c r="O3" s="6"/>
      <c r="P3" s="8"/>
    </row>
    <row r="4" spans="1:16" ht="12.75">
      <c r="A4" s="53" t="s">
        <v>4</v>
      </c>
      <c r="B4" s="6">
        <f>48000*B50</f>
        <v>120273.69023999998</v>
      </c>
      <c r="C4" s="6">
        <v>11</v>
      </c>
      <c r="D4" s="6">
        <f>C4*B4</f>
        <v>1323010.5926399997</v>
      </c>
      <c r="E4" s="6"/>
      <c r="F4" s="22"/>
      <c r="G4" s="6"/>
      <c r="H4" s="9">
        <f>'Costos Km'!L101</f>
        <v>0.17978747078943746</v>
      </c>
      <c r="I4" s="6">
        <f>I3</f>
        <v>10000</v>
      </c>
      <c r="J4" s="6">
        <f>H4*I4</f>
        <v>1797.8747078943748</v>
      </c>
      <c r="K4" s="67">
        <f>J4*C4</f>
        <v>19776.62178683812</v>
      </c>
      <c r="M4" s="6"/>
      <c r="N4" s="6"/>
      <c r="O4" s="6"/>
      <c r="P4" s="8"/>
    </row>
    <row r="5" spans="1:16" ht="12.75">
      <c r="A5" s="53" t="s">
        <v>290</v>
      </c>
      <c r="B5" s="6">
        <f>94000*B50</f>
        <v>235535.97671999998</v>
      </c>
      <c r="C5" s="10">
        <v>10</v>
      </c>
      <c r="D5" s="6">
        <f>C5*B5</f>
        <v>2355359.7671999997</v>
      </c>
      <c r="E5" s="6"/>
      <c r="F5" s="22"/>
      <c r="G5" s="6"/>
      <c r="H5" s="9">
        <f>'Costos Km'!L177</f>
        <v>1.432217675100947</v>
      </c>
      <c r="I5" s="6">
        <v>7000</v>
      </c>
      <c r="J5" s="6">
        <f>H5*I5</f>
        <v>10025.52372570663</v>
      </c>
      <c r="K5" s="67">
        <f>J5*C5</f>
        <v>100255.2372570663</v>
      </c>
      <c r="M5" s="6"/>
      <c r="N5" s="6"/>
      <c r="O5" s="6"/>
      <c r="P5" s="8"/>
    </row>
    <row r="6" spans="1:16" ht="13.5" thickBot="1">
      <c r="A6" s="53" t="s">
        <v>287</v>
      </c>
      <c r="B6" s="6">
        <f>60000*B50</f>
        <v>150342.11279999997</v>
      </c>
      <c r="C6" s="11">
        <v>10</v>
      </c>
      <c r="D6" s="6">
        <f>C6*B6</f>
        <v>1503421.1279999998</v>
      </c>
      <c r="E6" s="6"/>
      <c r="F6" s="22"/>
      <c r="G6" s="6"/>
      <c r="H6" s="9">
        <f>'Costos Km'!L256</f>
        <v>1.1863336543951357</v>
      </c>
      <c r="I6" s="6">
        <v>6000</v>
      </c>
      <c r="J6" s="6">
        <f>H6*I6</f>
        <v>7118.0019263708145</v>
      </c>
      <c r="K6" s="67">
        <f>J6*C6</f>
        <v>71180.01926370815</v>
      </c>
      <c r="M6" s="6"/>
      <c r="N6" s="6"/>
      <c r="O6" s="6"/>
      <c r="P6" s="8"/>
    </row>
    <row r="7" spans="1:16" ht="13.5" thickBot="1">
      <c r="A7" s="81" t="s">
        <v>9</v>
      </c>
      <c r="B7" s="82"/>
      <c r="C7" s="82"/>
      <c r="D7" s="82">
        <f>((C3*B3)+(C4*B4)+(C5*B5)+(C6*B6))</f>
        <v>9302418.2295</v>
      </c>
      <c r="E7" s="82"/>
      <c r="F7" s="83"/>
      <c r="G7" s="83"/>
      <c r="H7" s="83"/>
      <c r="I7" s="83"/>
      <c r="J7" s="83"/>
      <c r="K7" s="84">
        <f>SUM(K3:K6)</f>
        <v>351432.27507388114</v>
      </c>
      <c r="M7" s="9"/>
      <c r="N7" s="9"/>
      <c r="O7" s="9"/>
      <c r="P7" s="8"/>
    </row>
    <row r="8" spans="5:16" ht="13.5" thickBot="1">
      <c r="E8" s="24"/>
      <c r="F8" s="4"/>
      <c r="I8" s="6"/>
      <c r="M8" s="9"/>
      <c r="N8" s="9"/>
      <c r="O8" s="9"/>
      <c r="P8" s="8"/>
    </row>
    <row r="9" spans="1:16" ht="12.75">
      <c r="A9" s="1" t="s">
        <v>11</v>
      </c>
      <c r="B9" s="88">
        <v>0.07</v>
      </c>
      <c r="C9" s="2"/>
      <c r="D9" s="2"/>
      <c r="E9" s="2"/>
      <c r="F9" s="79"/>
      <c r="G9" s="2"/>
      <c r="H9" s="2"/>
      <c r="I9" s="2" t="s">
        <v>12</v>
      </c>
      <c r="J9" s="2"/>
      <c r="K9" s="71">
        <f>65*B50</f>
        <v>162.87062219999999</v>
      </c>
      <c r="M9" s="9"/>
      <c r="N9" s="9"/>
      <c r="O9" s="9"/>
      <c r="P9" s="8"/>
    </row>
    <row r="10" spans="1:16" ht="12.75">
      <c r="A10" s="5" t="s">
        <v>14</v>
      </c>
      <c r="B10" s="6">
        <v>0</v>
      </c>
      <c r="C10" s="6"/>
      <c r="D10" s="6"/>
      <c r="E10" s="6"/>
      <c r="F10" s="22"/>
      <c r="G10" s="6"/>
      <c r="H10" s="6"/>
      <c r="I10" s="6" t="s">
        <v>43</v>
      </c>
      <c r="J10" s="6"/>
      <c r="K10" s="89">
        <v>1.4</v>
      </c>
      <c r="M10" s="9">
        <v>1.0787965616045845</v>
      </c>
      <c r="N10" s="9" t="s">
        <v>293</v>
      </c>
      <c r="O10" s="9"/>
      <c r="P10" s="8"/>
    </row>
    <row r="11" spans="1:16" ht="12.75">
      <c r="A11" s="5" t="s">
        <v>16</v>
      </c>
      <c r="B11" s="6">
        <v>7</v>
      </c>
      <c r="C11" s="6"/>
      <c r="D11" s="6"/>
      <c r="E11" s="6"/>
      <c r="F11" s="22"/>
      <c r="G11" s="6"/>
      <c r="H11" s="6"/>
      <c r="I11" s="6" t="s">
        <v>7</v>
      </c>
      <c r="J11" s="6"/>
      <c r="K11" s="67">
        <v>21</v>
      </c>
      <c r="M11" s="9">
        <f>1.124+0.02</f>
        <v>1.1440000000000001</v>
      </c>
      <c r="N11" s="9" t="s">
        <v>294</v>
      </c>
      <c r="O11" s="9"/>
      <c r="P11" s="8"/>
    </row>
    <row r="12" spans="1:16" ht="12.75">
      <c r="A12" s="5" t="s">
        <v>18</v>
      </c>
      <c r="B12" s="12">
        <v>0.3</v>
      </c>
      <c r="C12" s="6" t="s">
        <v>295</v>
      </c>
      <c r="D12" s="6" t="s">
        <v>296</v>
      </c>
      <c r="E12" s="9">
        <v>139.7</v>
      </c>
      <c r="F12" s="22"/>
      <c r="G12" s="6"/>
      <c r="H12" s="6"/>
      <c r="I12" s="6" t="s">
        <v>17</v>
      </c>
      <c r="J12" s="6"/>
      <c r="K12" s="191">
        <f>+B51</f>
        <v>4.3</v>
      </c>
      <c r="M12" s="9"/>
      <c r="N12" s="9"/>
      <c r="O12" s="9"/>
      <c r="P12" s="8"/>
    </row>
    <row r="13" spans="1:16" ht="12.75">
      <c r="A13" s="5" t="s">
        <v>255</v>
      </c>
      <c r="B13" s="14">
        <v>0.24</v>
      </c>
      <c r="C13" s="6"/>
      <c r="D13" s="6" t="s">
        <v>297</v>
      </c>
      <c r="E13" s="9">
        <v>169.3</v>
      </c>
      <c r="F13" s="22"/>
      <c r="G13" s="6"/>
      <c r="H13" s="6"/>
      <c r="I13" s="6" t="s">
        <v>13</v>
      </c>
      <c r="J13" s="6"/>
      <c r="K13" s="191">
        <f>((1064)+(65*0.25*22))</f>
        <v>1421.5</v>
      </c>
      <c r="M13" s="9">
        <v>1.22</v>
      </c>
      <c r="N13" s="12" t="s">
        <v>23</v>
      </c>
      <c r="O13" s="12"/>
      <c r="P13" s="8"/>
    </row>
    <row r="14" spans="1:16" ht="13.5" thickBot="1">
      <c r="A14" s="69" t="str">
        <f>A50</f>
        <v>Inflacion-Accum</v>
      </c>
      <c r="B14" s="192">
        <f>+M13*1.23*1.21</f>
        <v>1.815726</v>
      </c>
      <c r="C14" s="29"/>
      <c r="D14" s="29" t="s">
        <v>298</v>
      </c>
      <c r="E14" s="195">
        <f>(E13/E12)-1</f>
        <v>0.2118826055833931</v>
      </c>
      <c r="F14" s="80"/>
      <c r="G14" s="29"/>
      <c r="H14" s="29"/>
      <c r="I14" s="29" t="str">
        <f>A53</f>
        <v>Combustible Bs</v>
      </c>
      <c r="J14" s="29"/>
      <c r="K14" s="90">
        <f>B53</f>
        <v>0.052</v>
      </c>
      <c r="L14" s="6"/>
      <c r="M14" s="6"/>
      <c r="N14" s="12"/>
      <c r="O14" s="12"/>
      <c r="P14" s="8"/>
    </row>
    <row r="15" spans="1:16" ht="13.5" thickBot="1">
      <c r="A15" s="5"/>
      <c r="B15" s="6"/>
      <c r="C15" s="6"/>
      <c r="D15" s="6"/>
      <c r="E15" s="6"/>
      <c r="F15" s="22"/>
      <c r="H15" s="6"/>
      <c r="I15" s="6"/>
      <c r="J15" s="6"/>
      <c r="K15" s="6"/>
      <c r="L15" s="6"/>
      <c r="M15" s="6"/>
      <c r="N15" s="6"/>
      <c r="O15" s="12"/>
      <c r="P15" s="15"/>
    </row>
    <row r="16" spans="1:18" ht="13.5" thickBot="1">
      <c r="A16" s="98" t="s">
        <v>19</v>
      </c>
      <c r="B16" s="115"/>
      <c r="C16" s="120" t="s">
        <v>20</v>
      </c>
      <c r="D16" s="99" t="s">
        <v>21</v>
      </c>
      <c r="E16" s="121" t="s">
        <v>22</v>
      </c>
      <c r="F16" s="99" t="s">
        <v>23</v>
      </c>
      <c r="G16" s="100" t="s">
        <v>24</v>
      </c>
      <c r="H16" s="134" t="s">
        <v>25</v>
      </c>
      <c r="I16" s="101" t="s">
        <v>26</v>
      </c>
      <c r="J16" s="101" t="s">
        <v>27</v>
      </c>
      <c r="K16" s="135" t="s">
        <v>28</v>
      </c>
      <c r="L16" s="148" t="s">
        <v>29</v>
      </c>
      <c r="M16" s="149" t="s">
        <v>30</v>
      </c>
      <c r="N16" s="162" t="s">
        <v>288</v>
      </c>
      <c r="O16" s="163" t="s">
        <v>289</v>
      </c>
      <c r="P16" s="102"/>
      <c r="Q16" s="98" t="s">
        <v>19</v>
      </c>
      <c r="R16" s="103"/>
    </row>
    <row r="17" spans="1:18" ht="12.75">
      <c r="A17" s="110" t="s">
        <v>31</v>
      </c>
      <c r="B17" s="116"/>
      <c r="C17" s="122"/>
      <c r="D17" s="91"/>
      <c r="E17" s="123"/>
      <c r="F17" s="91"/>
      <c r="G17" s="92"/>
      <c r="H17" s="136"/>
      <c r="I17" s="93"/>
      <c r="J17" s="93"/>
      <c r="K17" s="137"/>
      <c r="L17" s="150"/>
      <c r="M17" s="151"/>
      <c r="N17" s="164"/>
      <c r="O17" s="165"/>
      <c r="P17" s="3"/>
      <c r="Q17" s="110" t="s">
        <v>31</v>
      </c>
      <c r="R17" s="94"/>
    </row>
    <row r="18" spans="1:18" ht="12.75">
      <c r="A18" s="17" t="s">
        <v>274</v>
      </c>
      <c r="B18" s="95"/>
      <c r="C18" s="124">
        <f>H18*$C$3+J18*$C$4+L18*$C$5+N18*$C$6</f>
        <v>121706.638502625</v>
      </c>
      <c r="D18" s="18"/>
      <c r="E18" s="125">
        <f>C18+D18</f>
        <v>121706.638502625</v>
      </c>
      <c r="F18" s="19">
        <f>C18</f>
        <v>121706.638502625</v>
      </c>
      <c r="G18" s="6">
        <f>(($C$3*H18)+($C$4*J18)+($C$5*L18)+($C$6*N18))</f>
        <v>121706.638502625</v>
      </c>
      <c r="H18" s="138">
        <f>'Intereses Inversion Usados'!C90</f>
        <v>4901.048473035007</v>
      </c>
      <c r="I18" s="20"/>
      <c r="J18" s="20">
        <f>'Intereses Inversion Usados'!F90</f>
        <v>1573.5807806399953</v>
      </c>
      <c r="K18" s="139"/>
      <c r="L18" s="152">
        <f>'Intereses Inversion Usados'!I90</f>
        <v>3081.5956954200033</v>
      </c>
      <c r="M18" s="153"/>
      <c r="N18" s="166">
        <f>'Intereses Inversion Usados'!L90</f>
        <v>1966.975975799996</v>
      </c>
      <c r="O18" s="167"/>
      <c r="P18" s="21">
        <f>E18/$F$40</f>
        <v>0.07269068452707722</v>
      </c>
      <c r="Q18" s="17" t="s">
        <v>32</v>
      </c>
      <c r="R18" s="95"/>
    </row>
    <row r="19" spans="1:18" ht="12.75">
      <c r="A19" s="17" t="s">
        <v>33</v>
      </c>
      <c r="B19" s="95"/>
      <c r="C19" s="124">
        <f>((D7)*$B$9)/12</f>
        <v>54264.106338749996</v>
      </c>
      <c r="D19" s="18"/>
      <c r="E19" s="125">
        <f aca="true" t="shared" si="0" ref="E19:E40">C19+D19</f>
        <v>54264.106338749996</v>
      </c>
      <c r="F19" s="19">
        <f>F18+C19+D19</f>
        <v>175970.744841375</v>
      </c>
      <c r="G19" s="6">
        <f>(($C$3*H19)+($C$4*J19)+($C$5*L19)+($C$6*N19))</f>
        <v>54264.10633875</v>
      </c>
      <c r="H19" s="138">
        <f>((B3)*$B$9)/12</f>
        <v>2185.18084785</v>
      </c>
      <c r="I19" s="20"/>
      <c r="J19" s="20">
        <f>((B4)*$B$9)/12</f>
        <v>701.5965264</v>
      </c>
      <c r="K19" s="139"/>
      <c r="L19" s="152">
        <f>((B5)*$B$9)/12</f>
        <v>1373.9598642</v>
      </c>
      <c r="M19" s="153"/>
      <c r="N19" s="166">
        <f>((B6)*$B$9)/12</f>
        <v>876.9956579999999</v>
      </c>
      <c r="O19" s="167"/>
      <c r="P19" s="21">
        <f>E19/$F$40</f>
        <v>0.03240985934328283</v>
      </c>
      <c r="Q19" s="17" t="s">
        <v>33</v>
      </c>
      <c r="R19" s="95"/>
    </row>
    <row r="20" spans="1:18" ht="12.75">
      <c r="A20" s="17" t="s">
        <v>277</v>
      </c>
      <c r="B20" s="95"/>
      <c r="C20" s="124">
        <f>(H20*C3)+J20*C4+L20*C5+N20*C6</f>
        <v>4400</v>
      </c>
      <c r="D20" s="18"/>
      <c r="E20" s="125">
        <f t="shared" si="0"/>
        <v>4400</v>
      </c>
      <c r="F20" s="19">
        <f aca="true" t="shared" si="1" ref="F20:F34">F19+C20+D20</f>
        <v>180370.744841375</v>
      </c>
      <c r="G20" s="6">
        <f>(($C$3*H20)+($C$4*J20)+($C$5*L20)+($C$6*N20))</f>
        <v>4400</v>
      </c>
      <c r="H20" s="138">
        <f>8000*B13/12</f>
        <v>160</v>
      </c>
      <c r="I20" s="20"/>
      <c r="J20" s="20">
        <f>2000*B13/12</f>
        <v>40</v>
      </c>
      <c r="K20" s="139"/>
      <c r="L20" s="152">
        <f>6000*B13/12</f>
        <v>120</v>
      </c>
      <c r="M20" s="153"/>
      <c r="N20" s="166">
        <f>5000*B13/12</f>
        <v>100</v>
      </c>
      <c r="O20" s="167"/>
      <c r="P20" s="21">
        <f>E20/$F$40</f>
        <v>0.002627950421227363</v>
      </c>
      <c r="Q20" s="17" t="s">
        <v>34</v>
      </c>
      <c r="R20" s="95"/>
    </row>
    <row r="21" spans="1:18" ht="12.75">
      <c r="A21" s="17" t="s">
        <v>276</v>
      </c>
      <c r="B21" s="95"/>
      <c r="C21" s="124">
        <f>(D7*0.05)/12</f>
        <v>38760.075956249995</v>
      </c>
      <c r="D21" s="18"/>
      <c r="E21" s="125">
        <f t="shared" si="0"/>
        <v>38760.075956249995</v>
      </c>
      <c r="F21" s="19">
        <f t="shared" si="1"/>
        <v>219130.820797625</v>
      </c>
      <c r="G21" s="6">
        <f>(($C$3*H21)+($C$4*J21)+($C$5*L21)+($C$6*N21))</f>
        <v>38760.07595625</v>
      </c>
      <c r="H21" s="138">
        <f>(B3*0.05)/12</f>
        <v>1560.84346275</v>
      </c>
      <c r="I21" s="20"/>
      <c r="J21" s="20">
        <f>(B4*0.05)/12</f>
        <v>501.140376</v>
      </c>
      <c r="K21" s="139"/>
      <c r="L21" s="152">
        <f>(B5*0.05)/12</f>
        <v>981.399903</v>
      </c>
      <c r="M21" s="153"/>
      <c r="N21" s="166">
        <f>(B6*0.05)/12</f>
        <v>626.4254699999999</v>
      </c>
      <c r="O21" s="167"/>
      <c r="P21" s="21">
        <f>E21/$F$40</f>
        <v>0.023149899530916306</v>
      </c>
      <c r="Q21" s="17" t="str">
        <f>A21</f>
        <v>Impuestos varios</v>
      </c>
      <c r="R21" s="95"/>
    </row>
    <row r="22" spans="1:18" ht="13.5" thickBot="1">
      <c r="A22" s="26" t="s">
        <v>16</v>
      </c>
      <c r="B22" s="97"/>
      <c r="C22" s="126">
        <f>D7*(1-B12)/$B$11/12</f>
        <v>77520.15191249999</v>
      </c>
      <c r="D22" s="28"/>
      <c r="E22" s="127">
        <f t="shared" si="0"/>
        <v>77520.15191249999</v>
      </c>
      <c r="F22" s="55">
        <f t="shared" si="1"/>
        <v>296650.972710125</v>
      </c>
      <c r="G22" s="29">
        <f>(($C$3*H22)+($C$4*J22)+($C$5*L22)+($C$6*N22))</f>
        <v>77520.15191249999</v>
      </c>
      <c r="H22" s="140">
        <f>B3*(1-B12)/$B$11/12</f>
        <v>3121.6869254999997</v>
      </c>
      <c r="I22" s="111"/>
      <c r="J22" s="111">
        <f>B4*(1-B12)/$B$11/12</f>
        <v>1002.2807519999998</v>
      </c>
      <c r="K22" s="141"/>
      <c r="L22" s="154">
        <f>B5*(1-B12)/$B$11/12</f>
        <v>1962.7998059999998</v>
      </c>
      <c r="M22" s="155"/>
      <c r="N22" s="168">
        <f>B6*(1-B12)/$B$11/12</f>
        <v>1252.8509399999998</v>
      </c>
      <c r="O22" s="169"/>
      <c r="P22" s="113">
        <f>E22/$F$40</f>
        <v>0.04629979906183261</v>
      </c>
      <c r="Q22" s="26" t="s">
        <v>16</v>
      </c>
      <c r="R22" s="97"/>
    </row>
    <row r="23" spans="1:18" ht="12.75">
      <c r="A23" s="110" t="s">
        <v>35</v>
      </c>
      <c r="B23" s="94"/>
      <c r="C23" s="128"/>
      <c r="D23" s="107"/>
      <c r="E23" s="129"/>
      <c r="F23" s="108">
        <f t="shared" si="1"/>
        <v>296650.972710125</v>
      </c>
      <c r="G23" s="2"/>
      <c r="H23" s="142"/>
      <c r="I23" s="109"/>
      <c r="J23" s="109"/>
      <c r="K23" s="143"/>
      <c r="L23" s="156"/>
      <c r="M23" s="157"/>
      <c r="N23" s="170"/>
      <c r="O23" s="171"/>
      <c r="P23" s="114"/>
      <c r="Q23" s="110" t="s">
        <v>35</v>
      </c>
      <c r="R23" s="94"/>
    </row>
    <row r="24" spans="1:18" ht="12.75">
      <c r="A24" s="17" t="s">
        <v>36</v>
      </c>
      <c r="B24" s="95"/>
      <c r="C24" s="124"/>
      <c r="D24" s="18">
        <f>(C3+C5+C6)*104*B50</f>
        <v>8078.382861119999</v>
      </c>
      <c r="E24" s="125">
        <f t="shared" si="0"/>
        <v>8078.382861119999</v>
      </c>
      <c r="F24" s="19">
        <f t="shared" si="1"/>
        <v>304729.35557124496</v>
      </c>
      <c r="G24" s="6">
        <f>(($C$3*I24)+($C$4*J24)+($C$5*M24)+($C$6*O24))</f>
        <v>8078.382861119999</v>
      </c>
      <c r="H24" s="138"/>
      <c r="I24" s="20">
        <f>104*B50</f>
        <v>260.59299552</v>
      </c>
      <c r="J24" s="20"/>
      <c r="K24" s="139"/>
      <c r="L24" s="152"/>
      <c r="M24" s="153">
        <f>I24</f>
        <v>260.59299552</v>
      </c>
      <c r="N24" s="166"/>
      <c r="O24" s="167">
        <f>M24</f>
        <v>260.59299552</v>
      </c>
      <c r="P24" s="21">
        <f aca="true" t="shared" si="2" ref="P24:P30">E24/$F$40</f>
        <v>0.004824906736980957</v>
      </c>
      <c r="Q24" s="17" t="s">
        <v>36</v>
      </c>
      <c r="R24" s="95"/>
    </row>
    <row r="25" spans="1:18" ht="12.75">
      <c r="A25" s="17" t="s">
        <v>37</v>
      </c>
      <c r="B25" s="95"/>
      <c r="C25" s="124"/>
      <c r="D25" s="18">
        <f>(((C3*I3))*H3)+((C4*I4)*H4)+((C5*H5)*I5)+((C6*H6)*I6)</f>
        <v>351432.2750738811</v>
      </c>
      <c r="E25" s="125">
        <f t="shared" si="0"/>
        <v>351432.2750738811</v>
      </c>
      <c r="F25" s="19">
        <f t="shared" si="1"/>
        <v>656161.6306451261</v>
      </c>
      <c r="G25" s="6">
        <f>(($C$3*I25)+($C$4*K25)+($C$5*M25)+($C$6*O25))</f>
        <v>351432.27507388114</v>
      </c>
      <c r="H25" s="138"/>
      <c r="I25" s="20">
        <f>I3*H3</f>
        <v>14565.490615115323</v>
      </c>
      <c r="J25" s="20"/>
      <c r="K25" s="139">
        <f>I4*H4</f>
        <v>1797.8747078943748</v>
      </c>
      <c r="L25" s="152"/>
      <c r="M25" s="153">
        <f>I5*H5</f>
        <v>10025.52372570663</v>
      </c>
      <c r="N25" s="166"/>
      <c r="O25" s="167">
        <f>I6*H6</f>
        <v>7118.0019263708145</v>
      </c>
      <c r="P25" s="21">
        <f t="shared" si="2"/>
        <v>0.2098969534802946</v>
      </c>
      <c r="Q25" s="17" t="s">
        <v>37</v>
      </c>
      <c r="R25" s="95"/>
    </row>
    <row r="26" spans="1:18" ht="12.75">
      <c r="A26" s="17" t="s">
        <v>38</v>
      </c>
      <c r="B26" s="95"/>
      <c r="C26" s="124"/>
      <c r="D26" s="18">
        <f>($B$53*($C$3)*$I$3/2)+($B$53*($C$5)*$I$5/2.5)+($B$53*($C$6)*$I$5/3)</f>
        <v>5529.333333333333</v>
      </c>
      <c r="E26" s="125">
        <f t="shared" si="0"/>
        <v>5529.333333333333</v>
      </c>
      <c r="F26" s="19">
        <f t="shared" si="1"/>
        <v>661690.9639784595</v>
      </c>
      <c r="G26" s="6">
        <f>(($C$3*I26)+($C$4*J26)+($C$5*M26)+($C$6*O26))</f>
        <v>5529.333333333333</v>
      </c>
      <c r="H26" s="138"/>
      <c r="I26" s="20">
        <f>+($B$53*$I$3/2)</f>
        <v>260</v>
      </c>
      <c r="J26" s="20"/>
      <c r="K26" s="139"/>
      <c r="L26" s="152"/>
      <c r="M26" s="153">
        <f>+($B$53*$I$5/2.5)</f>
        <v>145.6</v>
      </c>
      <c r="N26" s="166"/>
      <c r="O26" s="167">
        <f>+($B$53*$I$5/3)</f>
        <v>121.33333333333333</v>
      </c>
      <c r="P26" s="21">
        <f t="shared" si="2"/>
        <v>0.0033024576960090524</v>
      </c>
      <c r="Q26" s="17" t="s">
        <v>38</v>
      </c>
      <c r="R26" s="95"/>
    </row>
    <row r="27" spans="1:18" ht="12.75">
      <c r="A27" s="17" t="s">
        <v>39</v>
      </c>
      <c r="B27" s="95"/>
      <c r="C27" s="124"/>
      <c r="D27" s="18">
        <f>(C3*I27+C5*M27+C6*O27)</f>
        <v>88611.64128431998</v>
      </c>
      <c r="E27" s="125">
        <f>(C27+D27)</f>
        <v>88611.64128431998</v>
      </c>
      <c r="F27" s="19">
        <f t="shared" si="1"/>
        <v>750302.6052627794</v>
      </c>
      <c r="G27" s="6">
        <f>(($C$3*I27)+($C$4*J27)+($C$5*M27)+($C$6*O27))</f>
        <v>88611.64128431998</v>
      </c>
      <c r="H27" s="138"/>
      <c r="I27" s="20">
        <f>(30+26+8)*$K$11*B50</f>
        <v>3367.6633267199995</v>
      </c>
      <c r="J27" s="20"/>
      <c r="K27" s="139"/>
      <c r="L27" s="152"/>
      <c r="M27" s="153">
        <f>(30+15+6)*$K$11*$B$50</f>
        <v>2683.6067134799996</v>
      </c>
      <c r="N27" s="166"/>
      <c r="O27" s="167">
        <f>(30+11+6)*$K$11*$B$50</f>
        <v>2473.1277555599995</v>
      </c>
      <c r="P27" s="21">
        <f t="shared" si="2"/>
        <v>0.05292431819063106</v>
      </c>
      <c r="Q27" s="17" t="s">
        <v>39</v>
      </c>
      <c r="R27" s="95"/>
    </row>
    <row r="28" spans="1:18" ht="12.75">
      <c r="A28" s="17" t="s">
        <v>40</v>
      </c>
      <c r="B28" s="95"/>
      <c r="C28" s="124"/>
      <c r="D28" s="18">
        <f>I28*C3+M28*C5+O28*C6</f>
        <v>144282.25</v>
      </c>
      <c r="E28" s="125">
        <f>(C28+D28)</f>
        <v>144282.25</v>
      </c>
      <c r="F28" s="19">
        <f t="shared" si="1"/>
        <v>894584.8552627794</v>
      </c>
      <c r="G28" s="6">
        <f>(($C$3*(H28+I28))+($C$4*(J28+K28))+($C$5*(L28+M28))+($C$6*(N28+O28)))</f>
        <v>144282.25</v>
      </c>
      <c r="H28" s="138"/>
      <c r="I28" s="20">
        <f>4*K13</f>
        <v>5686</v>
      </c>
      <c r="J28" s="20"/>
      <c r="K28" s="139"/>
      <c r="L28" s="152"/>
      <c r="M28" s="153">
        <f>3.25*K13</f>
        <v>4619.875</v>
      </c>
      <c r="N28" s="166"/>
      <c r="O28" s="167">
        <f>2.5*K13</f>
        <v>3553.75</v>
      </c>
      <c r="P28" s="21">
        <f t="shared" si="2"/>
        <v>0.08617422719616628</v>
      </c>
      <c r="Q28" s="17" t="s">
        <v>40</v>
      </c>
      <c r="R28" s="95"/>
    </row>
    <row r="29" spans="1:18" ht="12.75">
      <c r="A29" s="17" t="s">
        <v>243</v>
      </c>
      <c r="B29" s="95"/>
      <c r="C29" s="124">
        <f>H29*$C$3+J29*$C$4+L29*$C$5+N29*$C$6</f>
        <v>15248.81818181818</v>
      </c>
      <c r="D29" s="18">
        <f>I29*$C$3+K29*$C$4+M29*$C$5+O29*$C$6</f>
        <v>0</v>
      </c>
      <c r="E29" s="125">
        <f>(C29+D29)</f>
        <v>15248.81818181818</v>
      </c>
      <c r="F29" s="19">
        <f t="shared" si="1"/>
        <v>909833.6734445976</v>
      </c>
      <c r="G29" s="6">
        <f>(($C$3*(H29+I29))+($C$4*(J29+K29))+($C$5*(L29+M29))+($C$6*(N29+O29)))</f>
        <v>15248.81818181818</v>
      </c>
      <c r="H29" s="138">
        <f>((85000)/192500)*$K$13</f>
        <v>627.6753246753246</v>
      </c>
      <c r="I29" s="20">
        <v>0</v>
      </c>
      <c r="J29" s="20">
        <f>((30000)/192500)*$K$13</f>
        <v>221.53246753246754</v>
      </c>
      <c r="K29" s="139">
        <v>0</v>
      </c>
      <c r="L29" s="152">
        <f>((50000)/192500)*$K$13</f>
        <v>369.2207792207792</v>
      </c>
      <c r="M29" s="153">
        <v>0</v>
      </c>
      <c r="N29" s="166">
        <f>((30000)/192500)*$K$13</f>
        <v>221.53246753246754</v>
      </c>
      <c r="O29" s="167">
        <v>0</v>
      </c>
      <c r="P29" s="21">
        <f t="shared" si="2"/>
        <v>0.009107531400938307</v>
      </c>
      <c r="Q29" s="17" t="s">
        <v>243</v>
      </c>
      <c r="R29" s="95"/>
    </row>
    <row r="30" spans="1:18" ht="13.5" thickBot="1">
      <c r="A30" s="26" t="s">
        <v>242</v>
      </c>
      <c r="B30" s="97"/>
      <c r="C30" s="126">
        <f>SUM(C28:C29)*$K$10</f>
        <v>21348.34545454545</v>
      </c>
      <c r="D30" s="28">
        <f>SUM(D28:D29)*$K$10</f>
        <v>201995.15</v>
      </c>
      <c r="E30" s="127">
        <f>(C30+D30)</f>
        <v>223343.49545454545</v>
      </c>
      <c r="F30" s="55">
        <f t="shared" si="1"/>
        <v>1133177.168899143</v>
      </c>
      <c r="G30" s="29">
        <f>(($C$3*(H30+I30))+($C$4*(J30+K30))+($C$5*(L30+M30))+($C$6*(N30+O30)))</f>
        <v>223343.49545454548</v>
      </c>
      <c r="H30" s="140">
        <f aca="true" t="shared" si="3" ref="H30:O30">(H28+H29)*$K$10</f>
        <v>878.7454545454544</v>
      </c>
      <c r="I30" s="111">
        <f t="shared" si="3"/>
        <v>7960.4</v>
      </c>
      <c r="J30" s="111">
        <f t="shared" si="3"/>
        <v>310.1454545454545</v>
      </c>
      <c r="K30" s="141">
        <f t="shared" si="3"/>
        <v>0</v>
      </c>
      <c r="L30" s="154">
        <f t="shared" si="3"/>
        <v>516.9090909090909</v>
      </c>
      <c r="M30" s="155">
        <f t="shared" si="3"/>
        <v>6467.825</v>
      </c>
      <c r="N30" s="168">
        <f t="shared" si="3"/>
        <v>310.1454545454545</v>
      </c>
      <c r="O30" s="169">
        <f t="shared" si="3"/>
        <v>4975.25</v>
      </c>
      <c r="P30" s="113">
        <f t="shared" si="2"/>
        <v>0.13339446203594643</v>
      </c>
      <c r="Q30" s="26" t="s">
        <v>242</v>
      </c>
      <c r="R30" s="97"/>
    </row>
    <row r="31" spans="1:18" ht="12.75">
      <c r="A31" s="110" t="s">
        <v>41</v>
      </c>
      <c r="B31" s="94"/>
      <c r="C31" s="128"/>
      <c r="D31" s="107"/>
      <c r="E31" s="129"/>
      <c r="F31" s="108"/>
      <c r="G31" s="2"/>
      <c r="H31" s="142"/>
      <c r="I31" s="109"/>
      <c r="J31" s="109"/>
      <c r="K31" s="143"/>
      <c r="L31" s="156"/>
      <c r="M31" s="157"/>
      <c r="N31" s="170"/>
      <c r="O31" s="171"/>
      <c r="P31" s="114"/>
      <c r="Q31" s="110" t="s">
        <v>41</v>
      </c>
      <c r="R31" s="94"/>
    </row>
    <row r="32" spans="1:18" ht="12.75">
      <c r="A32" s="17" t="s">
        <v>42</v>
      </c>
      <c r="B32" s="95"/>
      <c r="C32" s="124">
        <f>(H32*$C$3+J32*$C$4+L32*$C$5+N32*$C$6)</f>
        <v>74287.22077922078</v>
      </c>
      <c r="D32" s="18"/>
      <c r="E32" s="125">
        <f t="shared" si="0"/>
        <v>74287.22077922078</v>
      </c>
      <c r="F32" s="19">
        <f>F30+C32+D32</f>
        <v>1207464.389678364</v>
      </c>
      <c r="G32" s="6">
        <f>(($C$3*(H32+I32))+($C$4*(J32+K32))+($C$5*(L32+M32))+($C$6*(N32+O32)))</f>
        <v>74287.22077922078</v>
      </c>
      <c r="H32" s="138">
        <f>((140000+200000+70000+0)/192500)*$K$13</f>
        <v>3027.6103896103896</v>
      </c>
      <c r="I32" s="20"/>
      <c r="J32" s="20">
        <f>((50000+75000+25000+0)/192500)*$K$13</f>
        <v>1107.6623376623377</v>
      </c>
      <c r="K32" s="139"/>
      <c r="L32" s="152">
        <f>((80000+120000+40000+0)/192500)*$K$13</f>
        <v>1772.2597402597403</v>
      </c>
      <c r="M32" s="153"/>
      <c r="N32" s="166">
        <f>((50000+75000+25000+0)/192500)*$K$13</f>
        <v>1107.6623376623377</v>
      </c>
      <c r="O32" s="167"/>
      <c r="P32" s="21">
        <f>G32/$F$40</f>
        <v>0.044368893895128034</v>
      </c>
      <c r="Q32" s="17" t="s">
        <v>42</v>
      </c>
      <c r="R32" s="95"/>
    </row>
    <row r="33" spans="1:18" ht="12.75">
      <c r="A33" s="17" t="s">
        <v>43</v>
      </c>
      <c r="B33" s="95"/>
      <c r="C33" s="124">
        <f>C32*K10</f>
        <v>104002.10909090909</v>
      </c>
      <c r="D33" s="18">
        <f>(D32)*K10</f>
        <v>0</v>
      </c>
      <c r="E33" s="125">
        <f t="shared" si="0"/>
        <v>104002.10909090909</v>
      </c>
      <c r="F33" s="19">
        <f>F32+C33+D33</f>
        <v>1311466.498769273</v>
      </c>
      <c r="G33" s="6">
        <f>(($C$3*(H33+I33))+($C$4*(J33+K33))+($C$5*(L33+M33))+($C$6*(N33+O33)))</f>
        <v>104002.1090909091</v>
      </c>
      <c r="H33" s="138">
        <f aca="true" t="shared" si="4" ref="H33:O33">(H32)*$K$10</f>
        <v>4238.654545454545</v>
      </c>
      <c r="I33" s="20">
        <f t="shared" si="4"/>
        <v>0</v>
      </c>
      <c r="J33" s="20">
        <f t="shared" si="4"/>
        <v>1550.7272727272727</v>
      </c>
      <c r="K33" s="139">
        <f t="shared" si="4"/>
        <v>0</v>
      </c>
      <c r="L33" s="152">
        <f t="shared" si="4"/>
        <v>2481.163636363636</v>
      </c>
      <c r="M33" s="153">
        <f t="shared" si="4"/>
        <v>0</v>
      </c>
      <c r="N33" s="166">
        <f t="shared" si="4"/>
        <v>1550.7272727272727</v>
      </c>
      <c r="O33" s="167">
        <f t="shared" si="4"/>
        <v>0</v>
      </c>
      <c r="P33" s="21">
        <f>E33/$F$40</f>
        <v>0.06211645145317924</v>
      </c>
      <c r="Q33" s="17" t="s">
        <v>43</v>
      </c>
      <c r="R33" s="95"/>
    </row>
    <row r="34" spans="1:18" ht="12.75">
      <c r="A34" s="17" t="s">
        <v>44</v>
      </c>
      <c r="B34" s="95"/>
      <c r="C34" s="124">
        <f>(H34*$C$3+J34*$C$4+L34*$C$5+N34*$C$6)</f>
        <v>83790.67086719998</v>
      </c>
      <c r="D34" s="18"/>
      <c r="E34" s="125">
        <f t="shared" si="0"/>
        <v>83790.67086719998</v>
      </c>
      <c r="F34" s="19">
        <f t="shared" si="1"/>
        <v>1395257.169636473</v>
      </c>
      <c r="G34" s="6">
        <f>(($C$3*H34)+($C$4*J34)+($C$5*L34)+($C$6*N34))</f>
        <v>83790.67086719998</v>
      </c>
      <c r="H34" s="138">
        <f>1280*B50</f>
        <v>3207.2984063999997</v>
      </c>
      <c r="I34" s="20">
        <v>0</v>
      </c>
      <c r="J34" s="20">
        <f>160*B50</f>
        <v>400.91230079999997</v>
      </c>
      <c r="K34" s="139">
        <v>0</v>
      </c>
      <c r="L34" s="152">
        <f>960*B50</f>
        <v>2405.4738048</v>
      </c>
      <c r="M34" s="153">
        <v>0</v>
      </c>
      <c r="N34" s="166">
        <f>800*B50</f>
        <v>2004.5615039999998</v>
      </c>
      <c r="O34" s="167"/>
      <c r="P34" s="21">
        <f>E34/$F$40</f>
        <v>0.05004493836372307</v>
      </c>
      <c r="Q34" s="17" t="s">
        <v>44</v>
      </c>
      <c r="R34" s="95"/>
    </row>
    <row r="35" spans="1:18" ht="13.5" thickBot="1">
      <c r="A35" s="26"/>
      <c r="B35" s="97"/>
      <c r="C35" s="126"/>
      <c r="D35" s="28"/>
      <c r="E35" s="127"/>
      <c r="F35" s="55"/>
      <c r="G35" s="29"/>
      <c r="H35" s="140"/>
      <c r="I35" s="111"/>
      <c r="J35" s="111"/>
      <c r="K35" s="141"/>
      <c r="L35" s="154"/>
      <c r="M35" s="155"/>
      <c r="N35" s="168"/>
      <c r="O35" s="169"/>
      <c r="P35" s="113"/>
      <c r="Q35" s="26"/>
      <c r="R35" s="97"/>
    </row>
    <row r="36" spans="1:24" s="24" customFormat="1" ht="12.75">
      <c r="A36" s="16" t="s">
        <v>45</v>
      </c>
      <c r="B36" s="96"/>
      <c r="C36" s="130">
        <f>SUM(C18:C32)+C33+C34</f>
        <v>595328.1370838184</v>
      </c>
      <c r="D36" s="19">
        <f>SUM(D18:D34)</f>
        <v>799929.0325526544</v>
      </c>
      <c r="E36" s="125">
        <f t="shared" si="0"/>
        <v>1395257.1696364728</v>
      </c>
      <c r="F36" s="19">
        <f>C36+D36</f>
        <v>1395257.1696364728</v>
      </c>
      <c r="G36" s="22">
        <f>(($C$3*(H36+I36))+($C$4*(J36+K36))+($C$5*(L36+M36))+($C$6*(N36+O36)))</f>
        <v>1395257.169636473</v>
      </c>
      <c r="H36" s="144">
        <f aca="true" t="shared" si="5" ref="H36:O36">SUM(H18:H32)+H33+H34</f>
        <v>23908.743829820723</v>
      </c>
      <c r="I36" s="23">
        <f t="shared" si="5"/>
        <v>32100.146937355326</v>
      </c>
      <c r="J36" s="23">
        <f t="shared" si="5"/>
        <v>7409.578268307527</v>
      </c>
      <c r="K36" s="145">
        <f t="shared" si="5"/>
        <v>1797.8747078943748</v>
      </c>
      <c r="L36" s="158">
        <f t="shared" si="5"/>
        <v>15064.78232017325</v>
      </c>
      <c r="M36" s="159">
        <f t="shared" si="5"/>
        <v>24203.023434706633</v>
      </c>
      <c r="N36" s="172">
        <f t="shared" si="5"/>
        <v>10017.877080267526</v>
      </c>
      <c r="O36" s="173">
        <f t="shared" si="5"/>
        <v>18502.056010784145</v>
      </c>
      <c r="P36" s="21"/>
      <c r="Q36" s="16" t="s">
        <v>45</v>
      </c>
      <c r="R36" s="96"/>
      <c r="T36" s="4"/>
      <c r="W36" s="4"/>
      <c r="X36" s="4"/>
    </row>
    <row r="37" spans="1:18" ht="12.75">
      <c r="A37" s="17"/>
      <c r="B37" s="95"/>
      <c r="C37" s="124"/>
      <c r="D37" s="18"/>
      <c r="E37" s="125"/>
      <c r="F37" s="19"/>
      <c r="G37" s="6"/>
      <c r="H37" s="138"/>
      <c r="I37" s="20"/>
      <c r="J37" s="20"/>
      <c r="K37" s="139"/>
      <c r="L37" s="152"/>
      <c r="M37" s="153"/>
      <c r="N37" s="166"/>
      <c r="O37" s="167"/>
      <c r="P37" s="21"/>
      <c r="Q37" s="17"/>
      <c r="R37" s="95"/>
    </row>
    <row r="38" spans="1:18" ht="12.75">
      <c r="A38" s="17" t="s">
        <v>46</v>
      </c>
      <c r="B38" s="117">
        <v>0.2</v>
      </c>
      <c r="C38" s="124">
        <f>C36*($B$38)</f>
        <v>119065.62741676369</v>
      </c>
      <c r="D38" s="18">
        <f>D36*($B$38)</f>
        <v>159985.80651053088</v>
      </c>
      <c r="E38" s="125">
        <f t="shared" si="0"/>
        <v>279051.43392729457</v>
      </c>
      <c r="F38" s="19">
        <f>F36*($B$38)</f>
        <v>279051.43392729457</v>
      </c>
      <c r="G38" s="6">
        <f>(($C$3*(H38+I38))+($C$4*(J38+K38))+($C$5*(L38+M38))+($C$6*(N38+O38)))</f>
        <v>279051.4339272946</v>
      </c>
      <c r="H38" s="138">
        <f aca="true" t="shared" si="6" ref="H38:O38">H36*($B$38)</f>
        <v>4781.748765964145</v>
      </c>
      <c r="I38" s="20">
        <f t="shared" si="6"/>
        <v>6420.029387471066</v>
      </c>
      <c r="J38" s="20">
        <f t="shared" si="6"/>
        <v>1481.9156536615055</v>
      </c>
      <c r="K38" s="139">
        <f t="shared" si="6"/>
        <v>359.574941578875</v>
      </c>
      <c r="L38" s="152">
        <f t="shared" si="6"/>
        <v>3012.9564640346503</v>
      </c>
      <c r="M38" s="153">
        <f t="shared" si="6"/>
        <v>4840.604686941327</v>
      </c>
      <c r="N38" s="166">
        <f t="shared" si="6"/>
        <v>2003.5754160535053</v>
      </c>
      <c r="O38" s="167">
        <f t="shared" si="6"/>
        <v>3700.411202156829</v>
      </c>
      <c r="P38" s="21">
        <f>F38/$F$40</f>
        <v>0.16666666666666666</v>
      </c>
      <c r="Q38" s="17" t="s">
        <v>46</v>
      </c>
      <c r="R38" s="95"/>
    </row>
    <row r="39" spans="1:18" ht="12.75">
      <c r="A39" s="17"/>
      <c r="B39" s="95"/>
      <c r="C39" s="131">
        <f>C40/F40</f>
        <v>0.42667986235034233</v>
      </c>
      <c r="D39" s="25">
        <f>D40/F40</f>
        <v>0.5733201376496577</v>
      </c>
      <c r="E39" s="125"/>
      <c r="F39" s="19"/>
      <c r="G39" s="6"/>
      <c r="H39" s="138"/>
      <c r="I39" s="20"/>
      <c r="J39" s="20"/>
      <c r="K39" s="139"/>
      <c r="L39" s="152"/>
      <c r="M39" s="153"/>
      <c r="N39" s="166"/>
      <c r="O39" s="167"/>
      <c r="P39" s="21"/>
      <c r="Q39" s="17"/>
      <c r="R39" s="95"/>
    </row>
    <row r="40" spans="1:24" s="24" customFormat="1" ht="13.5" thickBot="1">
      <c r="A40" s="118" t="s">
        <v>47</v>
      </c>
      <c r="B40" s="119"/>
      <c r="C40" s="132">
        <f>C36+C38</f>
        <v>714393.7645005821</v>
      </c>
      <c r="D40" s="55">
        <f>D36+D38</f>
        <v>959914.8390631853</v>
      </c>
      <c r="E40" s="133">
        <f t="shared" si="0"/>
        <v>1674308.6035637674</v>
      </c>
      <c r="F40" s="19">
        <f>F36+F38</f>
        <v>1674308.6035637674</v>
      </c>
      <c r="G40" s="22">
        <f>(($C$3*(H40+I40))+($C$4*(J40+K40))+($C$5*(L40+M40))+($C$6*(N40+O40)))</f>
        <v>1674308.6035637676</v>
      </c>
      <c r="H40" s="144">
        <f>H36+H38</f>
        <v>28690.492595784868</v>
      </c>
      <c r="I40" s="23">
        <f aca="true" t="shared" si="7" ref="I40:O40">I36+I38</f>
        <v>38520.17632482639</v>
      </c>
      <c r="J40" s="23">
        <f t="shared" si="7"/>
        <v>8891.493921969031</v>
      </c>
      <c r="K40" s="145">
        <f t="shared" si="7"/>
        <v>2157.44964947325</v>
      </c>
      <c r="L40" s="158">
        <f t="shared" si="7"/>
        <v>18077.7387842079</v>
      </c>
      <c r="M40" s="159">
        <f t="shared" si="7"/>
        <v>29043.62812164796</v>
      </c>
      <c r="N40" s="172">
        <f t="shared" si="7"/>
        <v>12021.452496321032</v>
      </c>
      <c r="O40" s="173">
        <f t="shared" si="7"/>
        <v>22202.467212940974</v>
      </c>
      <c r="P40" s="21">
        <f>SUM(P18:P32)+P33+P34+P38</f>
        <v>0.9999999999999999</v>
      </c>
      <c r="Q40" s="16" t="s">
        <v>47</v>
      </c>
      <c r="R40" s="96"/>
      <c r="T40" s="4"/>
      <c r="W40" s="4"/>
      <c r="X40" s="4"/>
    </row>
    <row r="41" spans="1:18" ht="12.75">
      <c r="A41" s="104"/>
      <c r="B41" s="105"/>
      <c r="C41" s="106"/>
      <c r="D41" s="106"/>
      <c r="E41" s="107"/>
      <c r="F41" s="108"/>
      <c r="G41" s="2"/>
      <c r="H41" s="142" t="s">
        <v>48</v>
      </c>
      <c r="I41" s="109" t="s">
        <v>49</v>
      </c>
      <c r="J41" s="109" t="s">
        <v>48</v>
      </c>
      <c r="K41" s="143" t="s">
        <v>49</v>
      </c>
      <c r="L41" s="156" t="s">
        <v>48</v>
      </c>
      <c r="M41" s="157" t="s">
        <v>49</v>
      </c>
      <c r="N41" s="170" t="s">
        <v>48</v>
      </c>
      <c r="O41" s="171" t="s">
        <v>49</v>
      </c>
      <c r="P41" s="3"/>
      <c r="Q41" s="104"/>
      <c r="R41" s="94"/>
    </row>
    <row r="42" spans="1:18" ht="13.5" thickBot="1">
      <c r="A42" s="26"/>
      <c r="B42" s="27"/>
      <c r="C42" s="28"/>
      <c r="D42" s="28"/>
      <c r="E42" s="28"/>
      <c r="F42" s="55"/>
      <c r="G42" s="29"/>
      <c r="H42" s="146">
        <f>H40/K11</f>
        <v>1366.2139331326127</v>
      </c>
      <c r="I42" s="30">
        <f>I40/I3</f>
        <v>3.8520176324826387</v>
      </c>
      <c r="J42" s="30">
        <f>J40/K11</f>
        <v>423.40447247471576</v>
      </c>
      <c r="K42" s="147">
        <f>K40/I4</f>
        <v>0.21574496494732498</v>
      </c>
      <c r="L42" s="160">
        <f>L40/K11</f>
        <v>860.8447040099</v>
      </c>
      <c r="M42" s="161">
        <f>M40/I5</f>
        <v>4.149089731663994</v>
      </c>
      <c r="N42" s="174">
        <f>N40/K11</f>
        <v>572.45011887243</v>
      </c>
      <c r="O42" s="175">
        <f>O40/I6</f>
        <v>3.700411202156829</v>
      </c>
      <c r="P42" s="31"/>
      <c r="Q42" s="26"/>
      <c r="R42" s="97"/>
    </row>
    <row r="43" spans="1:22" ht="13.5" thickBot="1">
      <c r="A43" s="33"/>
      <c r="B43" s="33"/>
      <c r="C43" s="33"/>
      <c r="D43" s="33"/>
      <c r="E43" s="33"/>
      <c r="F43" s="56"/>
      <c r="G43" s="33"/>
      <c r="H43" s="33"/>
      <c r="I43" s="33"/>
      <c r="J43" s="33"/>
      <c r="K43" s="33"/>
      <c r="L43" s="33"/>
      <c r="M43" s="33"/>
      <c r="N43" s="33"/>
      <c r="O43" s="33"/>
      <c r="Q43" s="33"/>
      <c r="R43" s="33"/>
      <c r="S43" s="33"/>
      <c r="U43" s="33"/>
      <c r="V43" s="33"/>
    </row>
    <row r="44" spans="1:22" ht="13.5" thickBot="1">
      <c r="A44" s="186"/>
      <c r="B44" s="187" t="s">
        <v>0</v>
      </c>
      <c r="C44" s="188"/>
      <c r="D44" s="188"/>
      <c r="E44" s="188"/>
      <c r="F44" s="187"/>
      <c r="G44" s="188"/>
      <c r="H44" s="187" t="s">
        <v>1</v>
      </c>
      <c r="I44" s="187"/>
      <c r="J44" s="189"/>
      <c r="K44" s="33"/>
      <c r="L44" s="33"/>
      <c r="M44" s="33"/>
      <c r="N44" s="33"/>
      <c r="O44" s="33"/>
      <c r="Q44" s="33"/>
      <c r="R44" s="33"/>
      <c r="S44" s="33"/>
      <c r="U44" s="33"/>
      <c r="V44" s="33"/>
    </row>
    <row r="45" spans="1:22" ht="13.5" thickBot="1">
      <c r="A45" s="186" t="s">
        <v>3</v>
      </c>
      <c r="B45" s="197">
        <f>($H$40+$J$40)/K11</f>
        <v>1789.6184056073287</v>
      </c>
      <c r="C45" s="188"/>
      <c r="D45" s="188"/>
      <c r="E45" s="188"/>
      <c r="F45" s="187"/>
      <c r="G45" s="188"/>
      <c r="H45" s="197">
        <f>I42+K42</f>
        <v>4.067762597429963</v>
      </c>
      <c r="I45" s="197"/>
      <c r="J45" s="199">
        <f>(B45*K11/I3)+H45</f>
        <v>7.825961249205354</v>
      </c>
      <c r="K45" s="34">
        <f>B45*K11+I3*H45</f>
        <v>78259.61249205354</v>
      </c>
      <c r="L45" s="34"/>
      <c r="M45" s="77"/>
      <c r="O45" s="34"/>
      <c r="Q45" s="21"/>
      <c r="R45" s="33"/>
      <c r="S45" s="33"/>
      <c r="U45" s="33"/>
      <c r="V45" s="33"/>
    </row>
    <row r="46" spans="1:22" ht="13.5" thickBot="1">
      <c r="A46" s="186" t="s">
        <v>292</v>
      </c>
      <c r="B46" s="197">
        <f>($L$40)/K11</f>
        <v>860.8447040099</v>
      </c>
      <c r="C46" s="188"/>
      <c r="D46" s="188"/>
      <c r="E46" s="188"/>
      <c r="F46" s="187"/>
      <c r="G46" s="188"/>
      <c r="H46" s="197">
        <f>M42</f>
        <v>4.149089731663994</v>
      </c>
      <c r="I46" s="200"/>
      <c r="J46" s="199">
        <f>(B46*K11/I5)+H46</f>
        <v>6.731623843693694</v>
      </c>
      <c r="K46" s="34">
        <f>B46*21+H46*I5</f>
        <v>47121.36690585586</v>
      </c>
      <c r="L46" s="34"/>
      <c r="M46" s="77"/>
      <c r="N46" s="33"/>
      <c r="O46" s="34"/>
      <c r="Q46" s="21"/>
      <c r="R46" s="33"/>
      <c r="S46" s="33"/>
      <c r="U46" s="33"/>
      <c r="V46" s="33"/>
    </row>
    <row r="47" spans="1:22" ht="13.5" thickBot="1">
      <c r="A47" s="184" t="s">
        <v>291</v>
      </c>
      <c r="B47" s="198">
        <f>($N$40)/K11</f>
        <v>572.45011887243</v>
      </c>
      <c r="C47" s="112"/>
      <c r="D47" s="112"/>
      <c r="E47" s="112"/>
      <c r="F47" s="185"/>
      <c r="G47" s="112"/>
      <c r="H47" s="198">
        <f>O42</f>
        <v>3.700411202156829</v>
      </c>
      <c r="I47" s="192"/>
      <c r="J47" s="199">
        <f>(B47*K11/I6)+H47</f>
        <v>5.703986618210334</v>
      </c>
      <c r="K47" s="34">
        <f>B47*21+H47*I6</f>
        <v>34223.919709262</v>
      </c>
      <c r="L47" s="34"/>
      <c r="M47" s="77"/>
      <c r="N47" s="33"/>
      <c r="O47" s="33"/>
      <c r="Q47" s="21"/>
      <c r="R47" s="33"/>
      <c r="S47" s="33"/>
      <c r="U47" s="33"/>
      <c r="V47" s="33"/>
    </row>
    <row r="48" spans="1:24" s="76" customFormat="1" ht="13.5" thickBot="1">
      <c r="A48" s="176"/>
      <c r="B48" s="176" t="s">
        <v>304</v>
      </c>
      <c r="F48" s="177"/>
      <c r="G48" s="34"/>
      <c r="H48" s="176"/>
      <c r="I48" s="178"/>
      <c r="J48" s="178"/>
      <c r="K48" s="178"/>
      <c r="L48" s="178"/>
      <c r="M48" s="178"/>
      <c r="N48" s="178"/>
      <c r="O48" s="178"/>
      <c r="P48" s="179"/>
      <c r="Q48" s="178"/>
      <c r="R48" s="178"/>
      <c r="S48" s="178"/>
      <c r="U48" s="178"/>
      <c r="V48" s="178"/>
      <c r="W48" s="4"/>
      <c r="X48" s="4"/>
    </row>
    <row r="49" spans="1:22" ht="13.5" thickBot="1">
      <c r="A49" s="85" t="s">
        <v>6</v>
      </c>
      <c r="B49" s="83"/>
      <c r="C49" s="83"/>
      <c r="D49" s="83"/>
      <c r="E49" s="83"/>
      <c r="F49" s="82"/>
      <c r="G49" s="190">
        <f>F49/164215675</f>
        <v>0</v>
      </c>
      <c r="H49" s="83"/>
      <c r="I49" s="83"/>
      <c r="J49" s="87"/>
      <c r="K49" s="33"/>
      <c r="L49" s="33"/>
      <c r="M49" s="33"/>
      <c r="N49" s="33"/>
      <c r="O49" s="33"/>
      <c r="Q49" s="33"/>
      <c r="R49" s="33"/>
      <c r="S49" s="33"/>
      <c r="U49" s="33"/>
      <c r="V49" s="33"/>
    </row>
    <row r="50" spans="1:22" ht="12.75">
      <c r="A50" s="5" t="s">
        <v>8</v>
      </c>
      <c r="B50" s="9">
        <f>1.38*B14</f>
        <v>2.5057018799999997</v>
      </c>
      <c r="C50" s="6"/>
      <c r="D50" s="6"/>
      <c r="E50" s="6"/>
      <c r="F50" s="22">
        <f>E18+E19+E20+E21+E22+E24+E27+E34+F38</f>
        <v>756183.1016500595</v>
      </c>
      <c r="G50" s="6"/>
      <c r="H50" s="6"/>
      <c r="I50" s="13">
        <f>(F50+F49)/F55</f>
        <v>0.4516390228423381</v>
      </c>
      <c r="J50" s="180"/>
      <c r="K50" s="37"/>
      <c r="L50" s="33"/>
      <c r="M50" s="33"/>
      <c r="N50" s="33"/>
      <c r="O50" s="33"/>
      <c r="Q50" s="33"/>
      <c r="R50" s="33"/>
      <c r="S50" s="33"/>
      <c r="U50" s="33"/>
      <c r="V50" s="33"/>
    </row>
    <row r="51" spans="1:22" ht="12.75">
      <c r="A51" s="5" t="s">
        <v>10</v>
      </c>
      <c r="B51" s="194">
        <v>4.3</v>
      </c>
      <c r="C51" s="6"/>
      <c r="D51" s="6"/>
      <c r="E51" s="6"/>
      <c r="F51" s="22">
        <f>E25</f>
        <v>351432.2750738811</v>
      </c>
      <c r="G51" s="6"/>
      <c r="H51" s="6"/>
      <c r="I51" s="13">
        <f>F51/F55</f>
        <v>0.20989695348029463</v>
      </c>
      <c r="J51" s="180"/>
      <c r="L51" s="33"/>
      <c r="M51" s="33"/>
      <c r="N51" s="33"/>
      <c r="O51" s="33"/>
      <c r="Q51" s="33"/>
      <c r="R51" s="33"/>
      <c r="S51" s="33"/>
      <c r="U51" s="33"/>
      <c r="V51" s="33"/>
    </row>
    <row r="52" spans="1:22" ht="12.75">
      <c r="A52" s="5" t="str">
        <f>I13</f>
        <v>Salario min actual</v>
      </c>
      <c r="B52" s="6">
        <f>K13</f>
        <v>1421.5</v>
      </c>
      <c r="C52" s="6"/>
      <c r="D52" s="6"/>
      <c r="E52" s="6"/>
      <c r="F52" s="22">
        <f>E32+E28+E33+E29+E30</f>
        <v>561163.8935064935</v>
      </c>
      <c r="G52" s="6"/>
      <c r="H52" s="6"/>
      <c r="I52" s="13">
        <f>F52/F55</f>
        <v>0.3351615659813584</v>
      </c>
      <c r="J52" s="180"/>
      <c r="K52" s="33"/>
      <c r="L52" s="33"/>
      <c r="M52" s="33"/>
      <c r="N52" s="33"/>
      <c r="O52" s="33"/>
      <c r="Q52" s="33"/>
      <c r="R52" s="33"/>
      <c r="S52" s="33"/>
      <c r="U52" s="33"/>
      <c r="V52" s="33"/>
    </row>
    <row r="53" spans="1:22" ht="13.5" thickBot="1">
      <c r="A53" s="69" t="s">
        <v>15</v>
      </c>
      <c r="B53" s="181">
        <v>0.052</v>
      </c>
      <c r="C53" s="29"/>
      <c r="D53" s="29"/>
      <c r="E53" s="29"/>
      <c r="F53" s="80">
        <f>E26</f>
        <v>5529.333333333333</v>
      </c>
      <c r="G53" s="29"/>
      <c r="H53" s="29"/>
      <c r="I53" s="182">
        <f>F53/F55</f>
        <v>0.003302457696009053</v>
      </c>
      <c r="J53" s="183">
        <f>SUM(I50:I53)</f>
        <v>1.0000000000000002</v>
      </c>
      <c r="K53" s="33"/>
      <c r="L53" s="33"/>
      <c r="M53" s="196">
        <v>40247</v>
      </c>
      <c r="N53" s="33" t="s">
        <v>300</v>
      </c>
      <c r="O53" s="33" t="s">
        <v>299</v>
      </c>
      <c r="Q53" s="33"/>
      <c r="R53" s="33" t="str">
        <f>O53</f>
        <v>julio08</v>
      </c>
      <c r="S53" s="33"/>
      <c r="U53" s="33"/>
      <c r="V53" s="33"/>
    </row>
    <row r="54" spans="1:22" ht="12.75">
      <c r="A54" s="33"/>
      <c r="B54" s="4">
        <v>102</v>
      </c>
      <c r="C54" s="33"/>
      <c r="D54" s="6"/>
      <c r="E54" s="7"/>
      <c r="F54" s="22"/>
      <c r="H54" s="12"/>
      <c r="N54" s="4" t="s">
        <v>0</v>
      </c>
      <c r="P54" s="193" t="s">
        <v>1</v>
      </c>
      <c r="S54" s="33"/>
      <c r="U54" s="33"/>
      <c r="V54" s="33"/>
    </row>
    <row r="55" spans="1:24" ht="12.75">
      <c r="A55" s="33"/>
      <c r="B55" s="33"/>
      <c r="C55" s="33"/>
      <c r="D55" s="12"/>
      <c r="E55" s="7"/>
      <c r="F55" s="22">
        <f>SUM(F49:F54)</f>
        <v>1674308.6035637672</v>
      </c>
      <c r="H55" s="57"/>
      <c r="L55" s="4" t="s">
        <v>3</v>
      </c>
      <c r="M55" s="4">
        <f>B45*1000</f>
        <v>1789618.4056073288</v>
      </c>
      <c r="N55" s="4">
        <v>1624565.1895264366</v>
      </c>
      <c r="O55" s="4">
        <v>1220071.827419604</v>
      </c>
      <c r="P55" s="4">
        <f>H45</f>
        <v>4.067762597429963</v>
      </c>
      <c r="Q55" s="193">
        <v>4030.2180240822277</v>
      </c>
      <c r="R55" s="4">
        <v>3133.5736333643063</v>
      </c>
      <c r="S55" s="4">
        <f>J45</f>
        <v>7.825961249205354</v>
      </c>
      <c r="T55" s="4">
        <v>7441.804922087745</v>
      </c>
      <c r="U55" s="4">
        <v>5695.724470945474</v>
      </c>
      <c r="V55" s="4">
        <f>K45/1000</f>
        <v>78.25961249205353</v>
      </c>
      <c r="W55" s="4">
        <f>(V55/S55)*T55</f>
        <v>74418.04922087745</v>
      </c>
      <c r="X55" s="4">
        <f>56957244.7094547/1000</f>
        <v>56957.2447094547</v>
      </c>
    </row>
    <row r="56" spans="1:24" ht="12.75">
      <c r="A56" s="33"/>
      <c r="B56" s="33"/>
      <c r="C56" s="33"/>
      <c r="D56" s="6"/>
      <c r="E56" s="6"/>
      <c r="F56" s="22"/>
      <c r="H56" s="6"/>
      <c r="L56" s="4" t="s">
        <v>292</v>
      </c>
      <c r="M56" s="4">
        <f>B46*1000</f>
        <v>860844.7040099001</v>
      </c>
      <c r="N56" s="4">
        <v>778336.4028478665</v>
      </c>
      <c r="O56" s="4">
        <v>586053.3446815088</v>
      </c>
      <c r="P56" s="4">
        <f>H46</f>
        <v>4.149089731663994</v>
      </c>
      <c r="Q56" s="193">
        <v>4011.644247613036</v>
      </c>
      <c r="R56" s="4">
        <v>3124.518013461665</v>
      </c>
      <c r="S56" s="4">
        <f>J46</f>
        <v>6.731623843693694</v>
      </c>
      <c r="T56" s="4">
        <v>6346.653456156636</v>
      </c>
      <c r="U56" s="4">
        <v>4882.678047506191</v>
      </c>
      <c r="V56" s="4">
        <f>K46/1000</f>
        <v>47.12136690585586</v>
      </c>
      <c r="W56" s="4">
        <f>(V56/S56)*T56</f>
        <v>44426.57419309645</v>
      </c>
      <c r="X56" s="4">
        <f>34178746.3325433/1000</f>
        <v>34178.7463325433</v>
      </c>
    </row>
    <row r="57" spans="1:24" ht="12.75">
      <c r="A57" s="33"/>
      <c r="B57" s="33"/>
      <c r="C57" s="33"/>
      <c r="D57" s="33"/>
      <c r="E57" s="33"/>
      <c r="F57" s="56"/>
      <c r="H57" s="33"/>
      <c r="L57" s="4" t="s">
        <v>291</v>
      </c>
      <c r="M57" s="4">
        <f>B47*1000</f>
        <v>572450.1188724301</v>
      </c>
      <c r="N57" s="4">
        <v>515878.22123562155</v>
      </c>
      <c r="O57" s="4">
        <v>389709.7474706246</v>
      </c>
      <c r="P57" s="4">
        <f>H47</f>
        <v>3.700411202156829</v>
      </c>
      <c r="Q57" s="193">
        <v>3230.5123055473214</v>
      </c>
      <c r="R57" s="4">
        <v>2522.555870281594</v>
      </c>
      <c r="S57" s="4">
        <f>J47</f>
        <v>5.703986618210334</v>
      </c>
      <c r="T57" s="4">
        <v>4778.146969254186</v>
      </c>
      <c r="U57" s="4">
        <v>3691.6851126934675</v>
      </c>
      <c r="V57" s="4">
        <f>K47/1000</f>
        <v>34.223919709262</v>
      </c>
      <c r="W57" s="4">
        <f>(V57/S57)*T57</f>
        <v>28668.88181552511</v>
      </c>
      <c r="X57" s="4">
        <f>25841795.7888543/1000</f>
        <v>25841.795788854302</v>
      </c>
    </row>
    <row r="58" spans="1:24" ht="12.75">
      <c r="A58" s="33"/>
      <c r="B58" s="33"/>
      <c r="C58" s="33"/>
      <c r="D58" s="33"/>
      <c r="E58" s="33"/>
      <c r="F58" s="56"/>
      <c r="H58" s="56"/>
      <c r="I58" s="56"/>
      <c r="J58" s="33"/>
      <c r="K58" s="33"/>
      <c r="L58" s="33"/>
      <c r="M58" s="33"/>
      <c r="N58" s="201"/>
      <c r="O58" s="178"/>
      <c r="P58" s="179"/>
      <c r="Q58" s="201"/>
      <c r="R58" s="178"/>
      <c r="S58" s="76"/>
      <c r="T58" s="201"/>
      <c r="U58" s="178"/>
      <c r="V58" s="76"/>
      <c r="W58" s="179"/>
      <c r="X58" s="179"/>
    </row>
    <row r="59" spans="1:24" ht="12.75">
      <c r="A59" s="56" t="s">
        <v>245</v>
      </c>
      <c r="B59" s="56" t="s">
        <v>246</v>
      </c>
      <c r="H59" s="24" t="s">
        <v>249</v>
      </c>
      <c r="I59" s="56" t="s">
        <v>247</v>
      </c>
      <c r="J59" s="56" t="s">
        <v>248</v>
      </c>
      <c r="K59" s="56" t="s">
        <v>250</v>
      </c>
      <c r="L59" s="56" t="s">
        <v>251</v>
      </c>
      <c r="M59" s="56" t="s">
        <v>252</v>
      </c>
      <c r="N59" s="201"/>
      <c r="O59" s="178"/>
      <c r="P59" s="179"/>
      <c r="Q59" s="201"/>
      <c r="R59" s="178"/>
      <c r="S59" s="76"/>
      <c r="T59" s="201"/>
      <c r="U59" s="178"/>
      <c r="V59" s="76"/>
      <c r="W59" s="179"/>
      <c r="X59" s="179"/>
    </row>
    <row r="60" spans="1:24" ht="12.75">
      <c r="A60" s="56" t="s">
        <v>253</v>
      </c>
      <c r="B60" s="56">
        <v>2</v>
      </c>
      <c r="H60" s="24">
        <f>($B$45)*B60</f>
        <v>3579.2368112146573</v>
      </c>
      <c r="I60" s="56">
        <v>953</v>
      </c>
      <c r="J60" s="24">
        <f>($H$45)*I60</f>
        <v>3876.577755350755</v>
      </c>
      <c r="K60" s="24">
        <f>+H60+J60</f>
        <v>7455.814566565412</v>
      </c>
      <c r="L60" s="24">
        <f>($B$46*B60)+($H$46*I60)</f>
        <v>5675.771922295587</v>
      </c>
      <c r="M60" s="24">
        <f>($B$47*B60)+($H$47*I60)</f>
        <v>4671.392113400318</v>
      </c>
      <c r="N60" s="201"/>
      <c r="O60" s="178"/>
      <c r="P60" s="179"/>
      <c r="Q60" s="201"/>
      <c r="R60" s="178"/>
      <c r="S60" s="76"/>
      <c r="T60" s="201"/>
      <c r="U60" s="178"/>
      <c r="V60" s="76"/>
      <c r="W60" s="179"/>
      <c r="X60" s="179"/>
    </row>
    <row r="61" spans="1:24" ht="12.75">
      <c r="A61" s="56" t="s">
        <v>286</v>
      </c>
      <c r="B61" s="56">
        <v>1</v>
      </c>
      <c r="H61" s="24">
        <f>($B$45)*B61</f>
        <v>1789.6184056073287</v>
      </c>
      <c r="I61" s="56">
        <f>63*2</f>
        <v>126</v>
      </c>
      <c r="J61" s="24">
        <f>($H$45)*I61</f>
        <v>512.5380872761754</v>
      </c>
      <c r="K61" s="24">
        <f>+H61+J61</f>
        <v>2302.156492883504</v>
      </c>
      <c r="L61" s="24">
        <f>($B$46*B61)+($H$46*I61)</f>
        <v>1383.6300101995635</v>
      </c>
      <c r="M61" s="24">
        <f>($B$47*B61)+($H$47*I61)</f>
        <v>1038.7019303441905</v>
      </c>
      <c r="N61" s="178"/>
      <c r="O61" s="178"/>
      <c r="P61" s="179"/>
      <c r="Q61" s="178"/>
      <c r="R61" s="178"/>
      <c r="S61" s="178"/>
      <c r="T61" s="76"/>
      <c r="U61" s="178"/>
      <c r="V61" s="76"/>
      <c r="W61" s="76"/>
      <c r="X61" s="201"/>
    </row>
    <row r="62" spans="1:24" ht="12.75">
      <c r="A62" s="33"/>
      <c r="B62" s="33"/>
      <c r="C62" s="33"/>
      <c r="D62" s="33"/>
      <c r="E62" s="33"/>
      <c r="F62" s="56"/>
      <c r="G62" s="33"/>
      <c r="J62" s="33"/>
      <c r="K62" s="33"/>
      <c r="L62" s="33"/>
      <c r="M62" s="33"/>
      <c r="N62" s="178"/>
      <c r="O62" s="178"/>
      <c r="P62" s="179"/>
      <c r="Q62" s="178"/>
      <c r="R62" s="178"/>
      <c r="S62" s="178"/>
      <c r="T62" s="76"/>
      <c r="U62" s="178"/>
      <c r="V62" s="76"/>
      <c r="W62" s="76"/>
      <c r="X62" s="201"/>
    </row>
    <row r="63" spans="1:24" ht="12.75">
      <c r="A63" s="33"/>
      <c r="B63" s="33"/>
      <c r="C63" s="33"/>
      <c r="D63" s="33"/>
      <c r="E63" s="33"/>
      <c r="F63" s="56"/>
      <c r="G63" s="33"/>
      <c r="J63" s="33"/>
      <c r="K63" s="33"/>
      <c r="L63" s="33"/>
      <c r="M63" s="33"/>
      <c r="N63" s="178"/>
      <c r="O63" s="178"/>
      <c r="P63" s="179"/>
      <c r="Q63" s="178"/>
      <c r="R63" s="178"/>
      <c r="S63" s="178"/>
      <c r="T63" s="76"/>
      <c r="U63" s="178"/>
      <c r="V63" s="76"/>
      <c r="W63" s="76"/>
      <c r="X63" s="201"/>
    </row>
    <row r="64" spans="1:24" ht="12.75">
      <c r="A64" s="33"/>
      <c r="B64" s="33"/>
      <c r="C64" s="33"/>
      <c r="D64" s="33"/>
      <c r="E64" s="33"/>
      <c r="F64" s="56"/>
      <c r="G64" s="33"/>
      <c r="J64" s="33"/>
      <c r="K64" s="33"/>
      <c r="L64" s="33"/>
      <c r="M64" s="33"/>
      <c r="N64" s="178"/>
      <c r="O64" s="178"/>
      <c r="P64" s="179"/>
      <c r="Q64" s="178"/>
      <c r="R64" s="178"/>
      <c r="S64" s="178"/>
      <c r="T64" s="76"/>
      <c r="U64" s="178"/>
      <c r="V64" s="76"/>
      <c r="W64" s="76"/>
      <c r="X64" s="76"/>
    </row>
    <row r="65" spans="4:24" ht="12.75">
      <c r="D65" s="4">
        <f>B46</f>
        <v>860.8447040099</v>
      </c>
      <c r="E65" s="4">
        <f>H46</f>
        <v>4.149089731663994</v>
      </c>
      <c r="F65" s="4" t="s">
        <v>5</v>
      </c>
      <c r="G65" s="4">
        <f>B45</f>
        <v>1789.6184056073287</v>
      </c>
      <c r="H65" s="4">
        <f>H45</f>
        <v>4.067762597429963</v>
      </c>
      <c r="I65" s="33" t="s">
        <v>279</v>
      </c>
      <c r="K65" s="33"/>
      <c r="L65" s="33"/>
      <c r="M65" s="33"/>
      <c r="N65" s="178"/>
      <c r="O65" s="178"/>
      <c r="P65" s="179"/>
      <c r="Q65" s="178"/>
      <c r="R65" s="178"/>
      <c r="S65" s="178"/>
      <c r="T65" s="76"/>
      <c r="U65" s="178"/>
      <c r="V65" s="76"/>
      <c r="W65" s="76"/>
      <c r="X65" s="76"/>
    </row>
    <row r="66" spans="1:24" ht="12.75">
      <c r="A66" s="33" t="s">
        <v>280</v>
      </c>
      <c r="B66" s="75">
        <v>2.5</v>
      </c>
      <c r="C66" s="4">
        <v>936</v>
      </c>
      <c r="D66" s="33">
        <f aca="true" t="shared" si="8" ref="D66:D71">B66*$D$65</f>
        <v>2152.1117600247503</v>
      </c>
      <c r="E66" s="33">
        <f aca="true" t="shared" si="9" ref="E66:E71">C66*$E$65</f>
        <v>3883.5479888374985</v>
      </c>
      <c r="F66" s="24">
        <f aca="true" t="shared" si="10" ref="F66:F71">D66+E66</f>
        <v>6035.659748862248</v>
      </c>
      <c r="G66" s="33">
        <f aca="true" t="shared" si="11" ref="G66:G71">B66*$G$65</f>
        <v>4474.046014018321</v>
      </c>
      <c r="H66" s="33">
        <f aca="true" t="shared" si="12" ref="H66:H71">C66*$H$65</f>
        <v>3807.4257911944455</v>
      </c>
      <c r="I66" s="24">
        <f aca="true" t="shared" si="13" ref="I66:I71">G66+H66</f>
        <v>8281.471805212766</v>
      </c>
      <c r="J66" s="33"/>
      <c r="K66" s="33"/>
      <c r="L66" s="33"/>
      <c r="M66" s="33"/>
      <c r="N66" s="178"/>
      <c r="O66" s="178"/>
      <c r="P66" s="179"/>
      <c r="Q66" s="178"/>
      <c r="R66" s="178"/>
      <c r="S66" s="178"/>
      <c r="T66" s="76"/>
      <c r="U66" s="178"/>
      <c r="V66" s="76"/>
      <c r="W66" s="76"/>
      <c r="X66" s="76"/>
    </row>
    <row r="67" spans="1:24" ht="13.5" thickBot="1">
      <c r="A67" s="33" t="s">
        <v>281</v>
      </c>
      <c r="B67" s="75">
        <v>1</v>
      </c>
      <c r="C67" s="33">
        <v>316</v>
      </c>
      <c r="D67" s="33">
        <f t="shared" si="8"/>
        <v>860.8447040099</v>
      </c>
      <c r="E67" s="33">
        <f t="shared" si="9"/>
        <v>1311.1123552058223</v>
      </c>
      <c r="F67" s="24">
        <f t="shared" si="10"/>
        <v>2171.9570592157224</v>
      </c>
      <c r="G67" s="33">
        <f t="shared" si="11"/>
        <v>1789.6184056073287</v>
      </c>
      <c r="H67" s="33">
        <f t="shared" si="12"/>
        <v>1285.4129807878685</v>
      </c>
      <c r="I67" s="24">
        <f t="shared" si="13"/>
        <v>3075.031386395197</v>
      </c>
      <c r="J67" s="33"/>
      <c r="K67" s="33"/>
      <c r="L67" s="33"/>
      <c r="M67" s="33"/>
      <c r="N67" s="178"/>
      <c r="O67" s="178"/>
      <c r="P67" s="179"/>
      <c r="Q67" s="178"/>
      <c r="R67" s="178"/>
      <c r="S67" s="178"/>
      <c r="T67" s="76"/>
      <c r="U67" s="178"/>
      <c r="V67" s="178"/>
      <c r="W67" s="76"/>
      <c r="X67" s="76"/>
    </row>
    <row r="68" spans="1:22" ht="13.5" thickBot="1">
      <c r="A68" s="33" t="s">
        <v>282</v>
      </c>
      <c r="B68" s="75">
        <v>3</v>
      </c>
      <c r="C68" s="33">
        <v>1550</v>
      </c>
      <c r="D68" s="33">
        <f t="shared" si="8"/>
        <v>2582.5341120297003</v>
      </c>
      <c r="E68" s="33">
        <f t="shared" si="9"/>
        <v>6431.089084079191</v>
      </c>
      <c r="F68" s="24">
        <f t="shared" si="10"/>
        <v>9013.62319610889</v>
      </c>
      <c r="G68" s="33">
        <f t="shared" si="11"/>
        <v>5368.855216821986</v>
      </c>
      <c r="H68" s="33">
        <f t="shared" si="12"/>
        <v>6305.0320260164435</v>
      </c>
      <c r="I68" s="24">
        <f>E68+H68</f>
        <v>12736.121110095635</v>
      </c>
      <c r="J68" s="33">
        <f>C68/2</f>
        <v>775</v>
      </c>
      <c r="K68" s="33">
        <f>J68*H45</f>
        <v>3152.5160130082218</v>
      </c>
      <c r="L68" s="33">
        <f>2*B45</f>
        <v>3579.2368112146573</v>
      </c>
      <c r="M68" s="187">
        <f>K68+L68</f>
        <v>6731.752824222879</v>
      </c>
      <c r="N68" s="187">
        <f>M68*1.2</f>
        <v>8078.103389067454</v>
      </c>
      <c r="O68" s="33"/>
      <c r="Q68" s="33"/>
      <c r="R68" s="33"/>
      <c r="S68" s="33"/>
      <c r="U68" s="33"/>
      <c r="V68" s="33"/>
    </row>
    <row r="69" spans="1:22" ht="12.75">
      <c r="A69" s="33" t="s">
        <v>283</v>
      </c>
      <c r="B69" s="75">
        <v>3</v>
      </c>
      <c r="C69" s="33">
        <v>1098</v>
      </c>
      <c r="D69" s="33">
        <f t="shared" si="8"/>
        <v>2582.5341120297003</v>
      </c>
      <c r="E69" s="33">
        <f t="shared" si="9"/>
        <v>4555.700525367066</v>
      </c>
      <c r="F69" s="24">
        <f t="shared" si="10"/>
        <v>7138.234637396767</v>
      </c>
      <c r="G69" s="33">
        <f t="shared" si="11"/>
        <v>5368.855216821986</v>
      </c>
      <c r="H69" s="33">
        <f t="shared" si="12"/>
        <v>4466.4033319781</v>
      </c>
      <c r="I69" s="24">
        <f t="shared" si="13"/>
        <v>9835.258548800086</v>
      </c>
      <c r="J69" s="33">
        <f>I68*1.2</f>
        <v>15283.34533211476</v>
      </c>
      <c r="K69" s="33"/>
      <c r="L69" s="33"/>
      <c r="M69" s="33"/>
      <c r="N69" s="33"/>
      <c r="O69" s="33"/>
      <c r="Q69" s="33"/>
      <c r="R69" s="33"/>
      <c r="S69" s="33"/>
      <c r="U69" s="33"/>
      <c r="V69" s="33"/>
    </row>
    <row r="70" spans="1:22" ht="12.75">
      <c r="A70" s="33" t="s">
        <v>284</v>
      </c>
      <c r="B70" s="75">
        <v>1</v>
      </c>
      <c r="C70" s="33">
        <v>110</v>
      </c>
      <c r="D70" s="33">
        <f t="shared" si="8"/>
        <v>860.8447040099</v>
      </c>
      <c r="E70" s="33">
        <f t="shared" si="9"/>
        <v>456.39987048303936</v>
      </c>
      <c r="F70" s="24">
        <f t="shared" si="10"/>
        <v>1317.2445744929394</v>
      </c>
      <c r="G70" s="33">
        <f t="shared" si="11"/>
        <v>1789.6184056073287</v>
      </c>
      <c r="H70" s="33">
        <f t="shared" si="12"/>
        <v>447.453885717296</v>
      </c>
      <c r="I70" s="24">
        <f t="shared" si="13"/>
        <v>2237.0722913246245</v>
      </c>
      <c r="J70" s="4">
        <f>B45</f>
        <v>1789.6184056073287</v>
      </c>
      <c r="K70" s="33">
        <f>C70*H45</f>
        <v>447.453885717296</v>
      </c>
      <c r="L70" s="4">
        <f>J70+K70</f>
        <v>2237.0722913246245</v>
      </c>
      <c r="M70" s="33"/>
      <c r="N70" s="33"/>
      <c r="O70" s="33"/>
      <c r="Q70" s="33"/>
      <c r="R70" s="33"/>
      <c r="S70" s="33"/>
      <c r="U70" s="33"/>
      <c r="V70" s="33"/>
    </row>
    <row r="71" spans="1:22" ht="12.75">
      <c r="A71" s="33" t="s">
        <v>285</v>
      </c>
      <c r="B71" s="75">
        <v>2.5</v>
      </c>
      <c r="C71" s="33">
        <v>956</v>
      </c>
      <c r="D71" s="33">
        <f t="shared" si="8"/>
        <v>2152.1117600247503</v>
      </c>
      <c r="E71" s="33">
        <f t="shared" si="9"/>
        <v>3966.5297834707785</v>
      </c>
      <c r="F71" s="24">
        <f t="shared" si="10"/>
        <v>6118.641543495529</v>
      </c>
      <c r="G71" s="33">
        <f t="shared" si="11"/>
        <v>4474.046014018321</v>
      </c>
      <c r="H71" s="33">
        <f t="shared" si="12"/>
        <v>3888.781043143045</v>
      </c>
      <c r="I71" s="24">
        <f t="shared" si="13"/>
        <v>8362.827057161367</v>
      </c>
      <c r="J71" s="33"/>
      <c r="K71" s="33"/>
      <c r="L71" s="33">
        <f>L70*1.2</f>
        <v>2684.486749589549</v>
      </c>
      <c r="M71" s="33"/>
      <c r="N71" s="33"/>
      <c r="O71" s="33"/>
      <c r="Q71" s="33"/>
      <c r="R71" s="33"/>
      <c r="S71" s="33"/>
      <c r="U71" s="33"/>
      <c r="V71" s="33"/>
    </row>
    <row r="72" spans="1:22" ht="12.75">
      <c r="A72" s="33"/>
      <c r="B72" s="75"/>
      <c r="C72" s="33"/>
      <c r="D72" s="33"/>
      <c r="E72" s="33"/>
      <c r="F72" s="56"/>
      <c r="G72" s="33"/>
      <c r="H72" s="33"/>
      <c r="I72" s="33"/>
      <c r="J72" s="33"/>
      <c r="K72" s="33"/>
      <c r="L72" s="33"/>
      <c r="M72" s="33"/>
      <c r="N72" s="33"/>
      <c r="O72" s="33"/>
      <c r="Q72" s="33"/>
      <c r="R72" s="33"/>
      <c r="S72" s="33"/>
      <c r="U72" s="33"/>
      <c r="V72" s="33"/>
    </row>
    <row r="73" spans="1:22" ht="12.75">
      <c r="A73" s="33"/>
      <c r="B73" s="75"/>
      <c r="C73" s="33"/>
      <c r="D73" s="33"/>
      <c r="E73" s="33"/>
      <c r="F73" s="56"/>
      <c r="G73" s="33"/>
      <c r="H73" s="33"/>
      <c r="I73" s="33"/>
      <c r="J73" s="33"/>
      <c r="K73" s="33"/>
      <c r="L73" s="33"/>
      <c r="M73" s="33"/>
      <c r="N73" s="33"/>
      <c r="O73" s="33"/>
      <c r="Q73" s="33"/>
      <c r="R73" s="33"/>
      <c r="S73" s="33"/>
      <c r="U73" s="33"/>
      <c r="V73" s="33"/>
    </row>
    <row r="74" spans="1:22" ht="12.75">
      <c r="A74" s="33"/>
      <c r="B74" s="75"/>
      <c r="C74" s="33"/>
      <c r="D74" s="33"/>
      <c r="E74" s="33"/>
      <c r="F74" s="56"/>
      <c r="G74" s="33"/>
      <c r="H74" s="33"/>
      <c r="I74" s="33"/>
      <c r="J74" s="33"/>
      <c r="K74" s="33"/>
      <c r="L74" s="33"/>
      <c r="M74" s="33"/>
      <c r="N74" s="33"/>
      <c r="O74" s="33"/>
      <c r="Q74" s="33"/>
      <c r="R74" s="33"/>
      <c r="S74" s="33"/>
      <c r="U74" s="33"/>
      <c r="V74" s="33"/>
    </row>
    <row r="75" spans="1:22" ht="12.75">
      <c r="A75" s="33"/>
      <c r="B75" s="75"/>
      <c r="C75" s="33"/>
      <c r="D75" s="33"/>
      <c r="E75" s="33"/>
      <c r="F75" s="56"/>
      <c r="G75" s="33"/>
      <c r="H75" s="33"/>
      <c r="I75" s="33"/>
      <c r="J75" s="33"/>
      <c r="K75" s="33"/>
      <c r="L75" s="33"/>
      <c r="M75" s="33"/>
      <c r="N75" s="33"/>
      <c r="O75" s="33"/>
      <c r="Q75" s="33"/>
      <c r="R75" s="33"/>
      <c r="S75" s="33"/>
      <c r="U75" s="33"/>
      <c r="V75" s="33"/>
    </row>
    <row r="76" spans="1:22" ht="12.75">
      <c r="A76" s="33"/>
      <c r="B76" s="75"/>
      <c r="C76" s="33"/>
      <c r="D76" s="33"/>
      <c r="E76" s="33"/>
      <c r="F76" s="56"/>
      <c r="G76" s="33"/>
      <c r="H76" s="33"/>
      <c r="I76" s="33"/>
      <c r="J76" s="33"/>
      <c r="K76" s="33"/>
      <c r="L76" s="33"/>
      <c r="M76" s="33"/>
      <c r="N76" s="33"/>
      <c r="O76" s="33"/>
      <c r="Q76" s="33"/>
      <c r="R76" s="33"/>
      <c r="S76" s="33"/>
      <c r="U76" s="33"/>
      <c r="V76" s="33"/>
    </row>
    <row r="77" spans="1:22" ht="12.75">
      <c r="A77" s="33"/>
      <c r="B77" s="75"/>
      <c r="C77" s="33"/>
      <c r="D77" s="33"/>
      <c r="E77" s="33"/>
      <c r="F77" s="56"/>
      <c r="G77" s="33"/>
      <c r="H77" s="33"/>
      <c r="I77" s="33"/>
      <c r="J77" s="33"/>
      <c r="K77" s="33"/>
      <c r="L77" s="33"/>
      <c r="M77" s="33"/>
      <c r="N77" s="33"/>
      <c r="O77" s="33"/>
      <c r="Q77" s="33"/>
      <c r="R77" s="33"/>
      <c r="S77" s="33"/>
      <c r="U77" s="33"/>
      <c r="V77" s="33"/>
    </row>
    <row r="78" spans="1:22" ht="12.75">
      <c r="A78" s="33"/>
      <c r="B78" s="75"/>
      <c r="C78" s="33"/>
      <c r="D78" s="33"/>
      <c r="E78" s="33"/>
      <c r="F78" s="56"/>
      <c r="G78" s="33"/>
      <c r="H78" s="33"/>
      <c r="I78" s="33"/>
      <c r="J78" s="33"/>
      <c r="K78" s="33"/>
      <c r="L78" s="33"/>
      <c r="M78" s="33"/>
      <c r="N78" s="33"/>
      <c r="O78" s="33"/>
      <c r="Q78" s="33"/>
      <c r="R78" s="33"/>
      <c r="S78" s="33"/>
      <c r="U78" s="33"/>
      <c r="V78" s="33"/>
    </row>
    <row r="79" spans="1:22" ht="12.75">
      <c r="A79" s="33"/>
      <c r="B79" s="75"/>
      <c r="C79" s="33"/>
      <c r="D79" s="33"/>
      <c r="E79" s="33"/>
      <c r="F79" s="56"/>
      <c r="G79" s="33"/>
      <c r="H79" s="33"/>
      <c r="I79" s="33"/>
      <c r="J79" s="33"/>
      <c r="K79" s="33"/>
      <c r="L79" s="33"/>
      <c r="M79" s="33"/>
      <c r="N79" s="33"/>
      <c r="O79" s="33"/>
      <c r="Q79" s="33"/>
      <c r="R79" s="33"/>
      <c r="S79" s="33"/>
      <c r="U79" s="33"/>
      <c r="V79" s="33"/>
    </row>
    <row r="80" spans="1:22" ht="12.75">
      <c r="A80" s="33"/>
      <c r="B80" s="75"/>
      <c r="C80" s="33"/>
      <c r="D80" s="33"/>
      <c r="E80" s="33"/>
      <c r="F80" s="56"/>
      <c r="G80" s="33"/>
      <c r="H80" s="33"/>
      <c r="I80" s="33"/>
      <c r="J80" s="33"/>
      <c r="K80" s="33"/>
      <c r="L80" s="33"/>
      <c r="M80" s="33"/>
      <c r="N80" s="33"/>
      <c r="O80" s="33"/>
      <c r="Q80" s="33"/>
      <c r="R80" s="33"/>
      <c r="S80" s="33"/>
      <c r="U80" s="33"/>
      <c r="V80" s="33"/>
    </row>
    <row r="81" spans="1:22" ht="12.75">
      <c r="A81" s="33"/>
      <c r="B81" s="75"/>
      <c r="C81" s="33"/>
      <c r="D81" s="33"/>
      <c r="E81" s="33"/>
      <c r="F81" s="56"/>
      <c r="G81" s="33"/>
      <c r="H81" s="33"/>
      <c r="I81" s="33"/>
      <c r="J81" s="33"/>
      <c r="K81" s="33"/>
      <c r="L81" s="33"/>
      <c r="M81" s="33"/>
      <c r="N81" s="33"/>
      <c r="O81" s="33"/>
      <c r="Q81" s="33"/>
      <c r="R81" s="33"/>
      <c r="S81" s="33"/>
      <c r="U81" s="33"/>
      <c r="V81" s="33"/>
    </row>
    <row r="82" spans="1:22" ht="12.75">
      <c r="A82" s="33"/>
      <c r="B82" s="75"/>
      <c r="C82" s="33"/>
      <c r="D82" s="33"/>
      <c r="E82" s="33"/>
      <c r="F82" s="56"/>
      <c r="G82" s="33"/>
      <c r="H82" s="33"/>
      <c r="I82" s="33"/>
      <c r="J82" s="33"/>
      <c r="K82" s="33"/>
      <c r="L82" s="33"/>
      <c r="M82" s="33"/>
      <c r="N82" s="33"/>
      <c r="O82" s="33"/>
      <c r="Q82" s="33"/>
      <c r="R82" s="33"/>
      <c r="S82" s="33"/>
      <c r="U82" s="33"/>
      <c r="V82" s="33"/>
    </row>
    <row r="83" spans="1:22" ht="12.75">
      <c r="A83" s="33"/>
      <c r="B83" s="75"/>
      <c r="C83" s="33"/>
      <c r="D83" s="33"/>
      <c r="E83" s="33"/>
      <c r="F83" s="56"/>
      <c r="G83" s="33"/>
      <c r="H83" s="33"/>
      <c r="I83" s="33"/>
      <c r="J83" s="33"/>
      <c r="K83" s="33"/>
      <c r="L83" s="33"/>
      <c r="M83" s="33"/>
      <c r="N83" s="33"/>
      <c r="O83" s="33"/>
      <c r="Q83" s="33"/>
      <c r="R83" s="33"/>
      <c r="S83" s="33"/>
      <c r="U83" s="33"/>
      <c r="V83" s="33"/>
    </row>
    <row r="84" spans="1:22" ht="12.75">
      <c r="A84" s="33"/>
      <c r="B84" s="33"/>
      <c r="C84" s="33"/>
      <c r="D84" s="33"/>
      <c r="E84" s="33"/>
      <c r="F84" s="56"/>
      <c r="G84" s="33"/>
      <c r="H84" s="33"/>
      <c r="I84" s="33"/>
      <c r="J84" s="33"/>
      <c r="K84" s="33"/>
      <c r="L84" s="33"/>
      <c r="M84" s="33"/>
      <c r="N84" s="33"/>
      <c r="O84" s="33"/>
      <c r="Q84" s="33"/>
      <c r="R84" s="33"/>
      <c r="S84" s="33"/>
      <c r="U84" s="33"/>
      <c r="V84" s="33"/>
    </row>
    <row r="85" spans="1:22" ht="12.75">
      <c r="A85" s="33"/>
      <c r="B85" s="33"/>
      <c r="C85" s="33"/>
      <c r="D85" s="33"/>
      <c r="E85" s="33"/>
      <c r="F85" s="56"/>
      <c r="G85" s="33"/>
      <c r="H85" s="33"/>
      <c r="I85" s="33"/>
      <c r="J85" s="33"/>
      <c r="K85" s="33"/>
      <c r="L85" s="33"/>
      <c r="M85" s="33"/>
      <c r="N85" s="33"/>
      <c r="O85" s="33"/>
      <c r="Q85" s="33"/>
      <c r="R85" s="33"/>
      <c r="S85" s="33"/>
      <c r="U85" s="33"/>
      <c r="V85" s="33"/>
    </row>
    <row r="86" spans="1:22" ht="12.75">
      <c r="A86" s="33"/>
      <c r="B86" s="33"/>
      <c r="C86" s="33"/>
      <c r="D86" s="33"/>
      <c r="E86" s="33"/>
      <c r="F86" s="56"/>
      <c r="G86" s="33"/>
      <c r="H86" s="33"/>
      <c r="I86" s="33"/>
      <c r="J86" s="33"/>
      <c r="K86" s="33"/>
      <c r="L86" s="33"/>
      <c r="M86" s="33"/>
      <c r="N86" s="33"/>
      <c r="O86" s="33"/>
      <c r="Q86" s="33"/>
      <c r="R86" s="33"/>
      <c r="S86" s="33"/>
      <c r="T86" s="33"/>
      <c r="U86" s="33"/>
      <c r="V86" s="33"/>
    </row>
    <row r="87" spans="1:22" ht="12.75">
      <c r="A87" s="33"/>
      <c r="B87" s="33"/>
      <c r="C87" s="33"/>
      <c r="D87" s="33"/>
      <c r="E87" s="33"/>
      <c r="F87" s="56"/>
      <c r="G87" s="33"/>
      <c r="H87" s="33"/>
      <c r="I87" s="33"/>
      <c r="J87" s="33"/>
      <c r="K87" s="33"/>
      <c r="L87" s="33"/>
      <c r="M87" s="33"/>
      <c r="N87" s="33"/>
      <c r="O87" s="33"/>
      <c r="Q87" s="33"/>
      <c r="R87" s="33"/>
      <c r="S87" s="33"/>
      <c r="T87" s="33"/>
      <c r="U87" s="33"/>
      <c r="V87" s="33"/>
    </row>
    <row r="88" spans="1:22" ht="12.75">
      <c r="A88" s="33"/>
      <c r="B88" s="33"/>
      <c r="C88" s="33"/>
      <c r="D88" s="33"/>
      <c r="E88" s="33"/>
      <c r="F88" s="56"/>
      <c r="G88" s="33"/>
      <c r="H88" s="33"/>
      <c r="I88" s="33"/>
      <c r="J88" s="33"/>
      <c r="K88" s="33"/>
      <c r="L88" s="33"/>
      <c r="M88" s="33"/>
      <c r="N88" s="33"/>
      <c r="O88" s="33"/>
      <c r="Q88" s="33"/>
      <c r="R88" s="33"/>
      <c r="S88" s="33"/>
      <c r="T88" s="33"/>
      <c r="U88" s="33"/>
      <c r="V88" s="33"/>
    </row>
    <row r="89" spans="1:22" ht="12.75">
      <c r="A89" s="33"/>
      <c r="B89" s="33"/>
      <c r="C89" s="33"/>
      <c r="D89" s="33"/>
      <c r="E89" s="33"/>
      <c r="F89" s="56"/>
      <c r="G89" s="33"/>
      <c r="H89" s="33"/>
      <c r="I89" s="33"/>
      <c r="J89" s="33"/>
      <c r="K89" s="33"/>
      <c r="L89" s="33"/>
      <c r="M89" s="33"/>
      <c r="N89" s="33"/>
      <c r="O89" s="33"/>
      <c r="Q89" s="33"/>
      <c r="R89" s="33"/>
      <c r="S89" s="33"/>
      <c r="T89" s="33"/>
      <c r="U89" s="33"/>
      <c r="V89" s="33"/>
    </row>
    <row r="90" spans="1:22" ht="12.75">
      <c r="A90" s="33"/>
      <c r="B90" s="33"/>
      <c r="C90" s="33"/>
      <c r="D90" s="33"/>
      <c r="E90" s="33"/>
      <c r="F90" s="56"/>
      <c r="G90" s="33"/>
      <c r="H90" s="33"/>
      <c r="I90" s="33"/>
      <c r="J90" s="33"/>
      <c r="K90" s="33"/>
      <c r="L90" s="33"/>
      <c r="M90" s="33"/>
      <c r="N90" s="33"/>
      <c r="O90" s="33"/>
      <c r="Q90" s="33"/>
      <c r="R90" s="33"/>
      <c r="S90" s="33"/>
      <c r="T90" s="33"/>
      <c r="U90" s="33"/>
      <c r="V90" s="33"/>
    </row>
    <row r="91" spans="1:22" ht="12.75">
      <c r="A91" s="33"/>
      <c r="B91" s="33"/>
      <c r="C91" s="33"/>
      <c r="D91" s="33"/>
      <c r="E91" s="33"/>
      <c r="F91" s="56"/>
      <c r="G91" s="33"/>
      <c r="H91" s="33"/>
      <c r="I91" s="33"/>
      <c r="J91" s="33"/>
      <c r="K91" s="33"/>
      <c r="L91" s="33"/>
      <c r="M91" s="33"/>
      <c r="N91" s="33"/>
      <c r="O91" s="33"/>
      <c r="Q91" s="33"/>
      <c r="R91" s="33"/>
      <c r="S91" s="33"/>
      <c r="T91" s="33"/>
      <c r="U91" s="33"/>
      <c r="V91" s="33"/>
    </row>
    <row r="92" spans="1:22" ht="12.75">
      <c r="A92" s="33"/>
      <c r="B92" s="33"/>
      <c r="C92" s="33"/>
      <c r="D92" s="33"/>
      <c r="E92" s="33"/>
      <c r="F92" s="56"/>
      <c r="G92" s="33"/>
      <c r="H92" s="33"/>
      <c r="I92" s="33"/>
      <c r="J92" s="33"/>
      <c r="K92" s="33"/>
      <c r="L92" s="33"/>
      <c r="M92" s="33"/>
      <c r="N92" s="33"/>
      <c r="O92" s="33"/>
      <c r="Q92" s="33"/>
      <c r="R92" s="33"/>
      <c r="S92" s="33"/>
      <c r="T92" s="33"/>
      <c r="U92" s="33"/>
      <c r="V92" s="33"/>
    </row>
    <row r="93" spans="1:22" ht="12.75">
      <c r="A93" s="33"/>
      <c r="B93" s="33"/>
      <c r="C93" s="33"/>
      <c r="D93" s="33"/>
      <c r="E93" s="33"/>
      <c r="F93" s="56"/>
      <c r="G93" s="33"/>
      <c r="H93" s="33"/>
      <c r="I93" s="33"/>
      <c r="J93" s="33"/>
      <c r="K93" s="33"/>
      <c r="L93" s="33"/>
      <c r="M93" s="33"/>
      <c r="N93" s="33"/>
      <c r="O93" s="33"/>
      <c r="Q93" s="33"/>
      <c r="R93" s="33"/>
      <c r="S93" s="33"/>
      <c r="T93" s="33"/>
      <c r="U93" s="33"/>
      <c r="V93" s="33"/>
    </row>
    <row r="94" spans="1:22" ht="12.75">
      <c r="A94" s="33"/>
      <c r="B94" s="33"/>
      <c r="C94" s="33"/>
      <c r="D94" s="33"/>
      <c r="E94" s="33"/>
      <c r="F94" s="56"/>
      <c r="G94" s="33"/>
      <c r="H94" s="33"/>
      <c r="I94" s="33"/>
      <c r="J94" s="33"/>
      <c r="K94" s="33"/>
      <c r="L94" s="33"/>
      <c r="M94" s="33"/>
      <c r="N94" s="33"/>
      <c r="O94" s="33"/>
      <c r="Q94" s="33"/>
      <c r="R94" s="33"/>
      <c r="S94" s="33"/>
      <c r="T94" s="33"/>
      <c r="U94" s="33"/>
      <c r="V94" s="33"/>
    </row>
    <row r="95" spans="1:22" ht="12.75">
      <c r="A95" s="33"/>
      <c r="B95" s="33"/>
      <c r="C95" s="33"/>
      <c r="D95" s="33"/>
      <c r="E95" s="33"/>
      <c r="F95" s="56"/>
      <c r="G95" s="33"/>
      <c r="H95" s="33"/>
      <c r="I95" s="33"/>
      <c r="J95" s="33"/>
      <c r="K95" s="33"/>
      <c r="L95" s="33"/>
      <c r="M95" s="33"/>
      <c r="N95" s="33"/>
      <c r="O95" s="33"/>
      <c r="Q95" s="33"/>
      <c r="R95" s="33"/>
      <c r="S95" s="33"/>
      <c r="T95" s="33"/>
      <c r="U95" s="33"/>
      <c r="V95" s="33"/>
    </row>
    <row r="96" spans="1:22" ht="12.75">
      <c r="A96" s="33"/>
      <c r="B96" s="33"/>
      <c r="C96" s="33"/>
      <c r="D96" s="33"/>
      <c r="E96" s="33"/>
      <c r="F96" s="56"/>
      <c r="G96" s="33"/>
      <c r="H96" s="33"/>
      <c r="I96" s="33"/>
      <c r="J96" s="33"/>
      <c r="K96" s="33"/>
      <c r="L96" s="33"/>
      <c r="M96" s="33"/>
      <c r="N96" s="33"/>
      <c r="O96" s="33"/>
      <c r="Q96" s="33"/>
      <c r="R96" s="33"/>
      <c r="S96" s="33"/>
      <c r="T96" s="33"/>
      <c r="U96" s="33"/>
      <c r="V96" s="33"/>
    </row>
    <row r="97" spans="1:22" ht="12.75">
      <c r="A97" s="33"/>
      <c r="B97" s="33"/>
      <c r="C97" s="33"/>
      <c r="D97" s="33"/>
      <c r="E97" s="33"/>
      <c r="F97" s="56"/>
      <c r="G97" s="33"/>
      <c r="H97" s="33"/>
      <c r="I97" s="33"/>
      <c r="J97" s="33"/>
      <c r="K97" s="33"/>
      <c r="L97" s="33"/>
      <c r="M97" s="33"/>
      <c r="N97" s="33"/>
      <c r="O97" s="33"/>
      <c r="Q97" s="33"/>
      <c r="R97" s="33"/>
      <c r="S97" s="33"/>
      <c r="T97" s="33"/>
      <c r="U97" s="33"/>
      <c r="V97" s="33"/>
    </row>
    <row r="98" spans="1:22" ht="12.75">
      <c r="A98" s="33"/>
      <c r="B98" s="33"/>
      <c r="C98" s="33"/>
      <c r="D98" s="33"/>
      <c r="E98" s="33"/>
      <c r="F98" s="56"/>
      <c r="G98" s="33"/>
      <c r="H98" s="33"/>
      <c r="I98" s="33"/>
      <c r="J98" s="33"/>
      <c r="K98" s="33"/>
      <c r="L98" s="33"/>
      <c r="M98" s="33"/>
      <c r="N98" s="33"/>
      <c r="O98" s="33"/>
      <c r="Q98" s="33"/>
      <c r="R98" s="33"/>
      <c r="S98" s="33"/>
      <c r="T98" s="33"/>
      <c r="U98" s="33"/>
      <c r="V98" s="33"/>
    </row>
    <row r="99" spans="1:22" ht="12.75">
      <c r="A99" s="33"/>
      <c r="B99" s="33"/>
      <c r="C99" s="33"/>
      <c r="D99" s="33"/>
      <c r="E99" s="33"/>
      <c r="F99" s="56"/>
      <c r="G99" s="33"/>
      <c r="H99" s="33"/>
      <c r="I99" s="33"/>
      <c r="J99" s="33"/>
      <c r="K99" s="33"/>
      <c r="L99" s="33"/>
      <c r="M99" s="33"/>
      <c r="N99" s="33"/>
      <c r="O99" s="33"/>
      <c r="Q99" s="33"/>
      <c r="R99" s="33"/>
      <c r="S99" s="33"/>
      <c r="T99" s="33"/>
      <c r="U99" s="33"/>
      <c r="V99" s="33"/>
    </row>
    <row r="100" spans="1:22" ht="12.75">
      <c r="A100" s="33"/>
      <c r="B100" s="33"/>
      <c r="C100" s="33"/>
      <c r="D100" s="33"/>
      <c r="E100" s="33"/>
      <c r="F100" s="56"/>
      <c r="G100" s="33"/>
      <c r="H100" s="33"/>
      <c r="I100" s="33"/>
      <c r="J100" s="33"/>
      <c r="K100" s="33"/>
      <c r="L100" s="33"/>
      <c r="M100" s="33"/>
      <c r="N100" s="33"/>
      <c r="O100" s="33"/>
      <c r="Q100" s="33"/>
      <c r="R100" s="33"/>
      <c r="S100" s="33"/>
      <c r="T100" s="33"/>
      <c r="U100" s="33"/>
      <c r="V100" s="33"/>
    </row>
    <row r="101" spans="1:22" ht="12.75">
      <c r="A101" s="33"/>
      <c r="B101" s="33"/>
      <c r="C101" s="33"/>
      <c r="D101" s="33"/>
      <c r="E101" s="33"/>
      <c r="F101" s="56"/>
      <c r="G101" s="33"/>
      <c r="H101" s="33"/>
      <c r="I101" s="33"/>
      <c r="J101" s="33"/>
      <c r="K101" s="33"/>
      <c r="L101" s="33"/>
      <c r="M101" s="33"/>
      <c r="N101" s="33"/>
      <c r="O101" s="33"/>
      <c r="Q101" s="33"/>
      <c r="R101" s="33"/>
      <c r="S101" s="33"/>
      <c r="T101" s="33"/>
      <c r="U101" s="33"/>
      <c r="V101" s="33"/>
    </row>
    <row r="102" spans="1:22" ht="12.75">
      <c r="A102" s="33"/>
      <c r="B102" s="33"/>
      <c r="C102" s="33"/>
      <c r="D102" s="33"/>
      <c r="E102" s="33"/>
      <c r="F102" s="56"/>
      <c r="G102" s="33"/>
      <c r="H102" s="33"/>
      <c r="I102" s="33"/>
      <c r="J102" s="33"/>
      <c r="K102" s="33"/>
      <c r="L102" s="33"/>
      <c r="M102" s="33"/>
      <c r="N102" s="33"/>
      <c r="O102" s="33"/>
      <c r="Q102" s="33"/>
      <c r="R102" s="33"/>
      <c r="S102" s="33"/>
      <c r="T102" s="33"/>
      <c r="U102" s="33"/>
      <c r="V102" s="33"/>
    </row>
    <row r="103" spans="1:22" ht="12.75">
      <c r="A103" s="33"/>
      <c r="B103" s="33"/>
      <c r="C103" s="33"/>
      <c r="D103" s="33"/>
      <c r="E103" s="33"/>
      <c r="F103" s="56"/>
      <c r="G103" s="33"/>
      <c r="H103" s="33"/>
      <c r="I103" s="33"/>
      <c r="J103" s="33"/>
      <c r="K103" s="33"/>
      <c r="L103" s="33"/>
      <c r="M103" s="33"/>
      <c r="N103" s="33"/>
      <c r="O103" s="33"/>
      <c r="Q103" s="33"/>
      <c r="R103" s="33"/>
      <c r="S103" s="33"/>
      <c r="T103" s="33"/>
      <c r="U103" s="33"/>
      <c r="V103" s="33"/>
    </row>
  </sheetData>
  <sheetProtection/>
  <printOptions/>
  <pageMargins left="0.6299212598425197" right="0.39" top="0.44" bottom="0.38" header="0" footer="0"/>
  <pageSetup fitToHeight="1" fitToWidth="1" horizontalDpi="300" verticalDpi="300" orientation="landscape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zoomScale="85" zoomScaleNormal="85" zoomScalePageLayoutView="0" workbookViewId="0" topLeftCell="A1">
      <selection activeCell="D3" sqref="D3"/>
    </sheetView>
  </sheetViews>
  <sheetFormatPr defaultColWidth="11.421875" defaultRowHeight="12.75"/>
  <cols>
    <col min="1" max="1" width="6.57421875" style="0" customWidth="1"/>
  </cols>
  <sheetData>
    <row r="1" spans="2:13" ht="13.5" thickBot="1">
      <c r="B1" s="64"/>
      <c r="C1" s="65" t="s">
        <v>232</v>
      </c>
      <c r="D1" s="66"/>
      <c r="E1" s="64"/>
      <c r="F1" s="65" t="s">
        <v>275</v>
      </c>
      <c r="G1" s="66"/>
      <c r="H1" s="64"/>
      <c r="I1" s="65">
        <v>750</v>
      </c>
      <c r="J1" s="66"/>
      <c r="K1" s="64"/>
      <c r="L1" s="65">
        <v>350</v>
      </c>
      <c r="M1" s="66"/>
    </row>
    <row r="2" spans="1:13" ht="12.75">
      <c r="A2" s="4"/>
      <c r="B2" s="5" t="s">
        <v>272</v>
      </c>
      <c r="C2" s="6" t="s">
        <v>255</v>
      </c>
      <c r="D2" s="67" t="s">
        <v>273</v>
      </c>
      <c r="E2" s="5" t="s">
        <v>272</v>
      </c>
      <c r="F2" s="6" t="s">
        <v>255</v>
      </c>
      <c r="G2" s="67" t="s">
        <v>273</v>
      </c>
      <c r="H2" s="1" t="s">
        <v>272</v>
      </c>
      <c r="I2" s="2" t="s">
        <v>255</v>
      </c>
      <c r="J2" s="71" t="s">
        <v>273</v>
      </c>
      <c r="K2" s="1" t="s">
        <v>272</v>
      </c>
      <c r="L2" s="2" t="s">
        <v>255</v>
      </c>
      <c r="M2" s="71" t="s">
        <v>273</v>
      </c>
    </row>
    <row r="3" spans="1:13" ht="12.75">
      <c r="A3" s="4"/>
      <c r="B3" s="5"/>
      <c r="C3" s="6"/>
      <c r="D3" s="67">
        <f>'Estructura de Costos Usados'!B3</f>
        <v>374602.43106</v>
      </c>
      <c r="E3" s="5"/>
      <c r="F3" s="6"/>
      <c r="G3" s="67">
        <f>'Estructura de Costos Usados'!B4</f>
        <v>120273.69023999998</v>
      </c>
      <c r="H3" s="5"/>
      <c r="I3" s="6"/>
      <c r="J3" s="67">
        <f>'Estructura de Costos Usados'!B5</f>
        <v>235535.97671999998</v>
      </c>
      <c r="K3" s="5"/>
      <c r="L3" s="6"/>
      <c r="M3" s="67">
        <f>'Estructura de Costos Usados'!B6</f>
        <v>150342.11279999997</v>
      </c>
    </row>
    <row r="4" spans="1:13" ht="12.75">
      <c r="A4" s="4">
        <v>1</v>
      </c>
      <c r="B4" s="5">
        <f>'Estructura de Costos Usados'!H22</f>
        <v>3121.6869254999997</v>
      </c>
      <c r="C4" s="6">
        <f>D3*('Estructura de Costos Usados'!$B$13/12)</f>
        <v>7492.0486212</v>
      </c>
      <c r="D4" s="68">
        <f>D3-B4</f>
        <v>371480.7441345</v>
      </c>
      <c r="E4" s="5">
        <f>'Estructura de Costos Usados'!J22</f>
        <v>1002.2807519999998</v>
      </c>
      <c r="F4" s="6">
        <f>G3*('Estructura de Costos Usados'!$B$13/12)</f>
        <v>2405.4738047999995</v>
      </c>
      <c r="G4" s="68">
        <f>G3-E4</f>
        <v>119271.40948799998</v>
      </c>
      <c r="H4" s="5">
        <f>'Estructura de Costos Usados'!L22</f>
        <v>1962.7998059999998</v>
      </c>
      <c r="I4" s="6">
        <f>J3*('Estructura de Costos Usados'!$B$13/12)</f>
        <v>4710.719534399999</v>
      </c>
      <c r="J4" s="68">
        <f>J3-H4</f>
        <v>233573.17691399998</v>
      </c>
      <c r="K4" s="5">
        <f>'Estructura de Costos Usados'!N22</f>
        <v>1252.8509399999998</v>
      </c>
      <c r="L4" s="6">
        <f>M3*('Estructura de Costos Usados'!$B$13/12)</f>
        <v>3006.8422559999995</v>
      </c>
      <c r="M4" s="68">
        <f>M3-K4</f>
        <v>149089.26185999997</v>
      </c>
    </row>
    <row r="5" spans="1:13" ht="12.75">
      <c r="A5" s="4">
        <f>A4+1</f>
        <v>2</v>
      </c>
      <c r="B5" s="5">
        <f>B4</f>
        <v>3121.6869254999997</v>
      </c>
      <c r="C5" s="6">
        <f>D4*('Estructura de Costos Usados'!$B$13/12)</f>
        <v>7429.61488269</v>
      </c>
      <c r="D5" s="68">
        <f>D4-B5</f>
        <v>368359.057209</v>
      </c>
      <c r="E5" s="5">
        <f>E4</f>
        <v>1002.2807519999998</v>
      </c>
      <c r="F5" s="6">
        <f>G4*('Estructura de Costos Usados'!$B$13/12)</f>
        <v>2385.4281897599994</v>
      </c>
      <c r="G5" s="68">
        <f>G4-E5</f>
        <v>118269.12873599997</v>
      </c>
      <c r="H5" s="5">
        <f>H4</f>
        <v>1962.7998059999998</v>
      </c>
      <c r="I5" s="6">
        <f>J4*('Estructura de Costos Usados'!$B$13/12)</f>
        <v>4671.46353828</v>
      </c>
      <c r="J5" s="68">
        <f>J4-H5</f>
        <v>231610.377108</v>
      </c>
      <c r="K5" s="5">
        <f>K4</f>
        <v>1252.8509399999998</v>
      </c>
      <c r="L5" s="6">
        <f>M4*('Estructura de Costos Usados'!$B$13/12)</f>
        <v>2981.7852371999993</v>
      </c>
      <c r="M5" s="68">
        <f>M4-K5</f>
        <v>147836.41091999997</v>
      </c>
    </row>
    <row r="6" spans="1:13" ht="12.75">
      <c r="A6" s="4">
        <f aca="true" t="shared" si="0" ref="A6:A69">A5+1</f>
        <v>3</v>
      </c>
      <c r="B6" s="5">
        <f aca="true" t="shared" si="1" ref="B6:B69">B5</f>
        <v>3121.6869254999997</v>
      </c>
      <c r="C6" s="6">
        <f>D5*('Estructura de Costos Usados'!$B$13/12)</f>
        <v>7367.18114418</v>
      </c>
      <c r="D6" s="68">
        <f aca="true" t="shared" si="2" ref="D6:D32">D5-B6</f>
        <v>365237.3702835</v>
      </c>
      <c r="E6" s="5">
        <f aca="true" t="shared" si="3" ref="E6:E69">E5</f>
        <v>1002.2807519999998</v>
      </c>
      <c r="F6" s="6">
        <f>G5*('Estructura de Costos Usados'!$B$13/12)</f>
        <v>2365.3825747199994</v>
      </c>
      <c r="G6" s="68">
        <f aca="true" t="shared" si="4" ref="G6:G69">G5-E6</f>
        <v>117266.84798399996</v>
      </c>
      <c r="H6" s="5">
        <f aca="true" t="shared" si="5" ref="H6:H69">H5</f>
        <v>1962.7998059999998</v>
      </c>
      <c r="I6" s="6">
        <f>J5*('Estructura de Costos Usados'!$B$13/12)</f>
        <v>4632.20754216</v>
      </c>
      <c r="J6" s="68">
        <f aca="true" t="shared" si="6" ref="J6:J69">J5-H6</f>
        <v>229647.577302</v>
      </c>
      <c r="K6" s="5">
        <f aca="true" t="shared" si="7" ref="K6:K69">K5</f>
        <v>1252.8509399999998</v>
      </c>
      <c r="L6" s="6">
        <f>M5*('Estructura de Costos Usados'!$B$13/12)</f>
        <v>2956.728218399999</v>
      </c>
      <c r="M6" s="68">
        <f aca="true" t="shared" si="8" ref="M6:M69">M5-K6</f>
        <v>146583.55997999996</v>
      </c>
    </row>
    <row r="7" spans="1:13" ht="12.75">
      <c r="A7" s="4">
        <f t="shared" si="0"/>
        <v>4</v>
      </c>
      <c r="B7" s="5">
        <f t="shared" si="1"/>
        <v>3121.6869254999997</v>
      </c>
      <c r="C7" s="6">
        <f>D6*('Estructura de Costos Usados'!$B$13/12)</f>
        <v>7304.74740567</v>
      </c>
      <c r="D7" s="68">
        <f t="shared" si="2"/>
        <v>362115.683358</v>
      </c>
      <c r="E7" s="5">
        <f t="shared" si="3"/>
        <v>1002.2807519999998</v>
      </c>
      <c r="F7" s="6">
        <f>G6*('Estructura de Costos Usados'!$B$13/12)</f>
        <v>2345.3369596799994</v>
      </c>
      <c r="G7" s="68">
        <f t="shared" si="4"/>
        <v>116264.56723199996</v>
      </c>
      <c r="H7" s="5">
        <f t="shared" si="5"/>
        <v>1962.7998059999998</v>
      </c>
      <c r="I7" s="6">
        <f>J6*('Estructura de Costos Usados'!$B$13/12)</f>
        <v>4592.95154604</v>
      </c>
      <c r="J7" s="68">
        <f t="shared" si="6"/>
        <v>227684.777496</v>
      </c>
      <c r="K7" s="5">
        <f t="shared" si="7"/>
        <v>1252.8509399999998</v>
      </c>
      <c r="L7" s="6">
        <f>M6*('Estructura de Costos Usados'!$B$13/12)</f>
        <v>2931.6711995999995</v>
      </c>
      <c r="M7" s="68">
        <f t="shared" si="8"/>
        <v>145330.70903999996</v>
      </c>
    </row>
    <row r="8" spans="1:13" ht="12.75">
      <c r="A8" s="4">
        <f t="shared" si="0"/>
        <v>5</v>
      </c>
      <c r="B8" s="5">
        <f t="shared" si="1"/>
        <v>3121.6869254999997</v>
      </c>
      <c r="C8" s="6">
        <f>D7*('Estructura de Costos Usados'!$B$13/12)</f>
        <v>7242.3136671600005</v>
      </c>
      <c r="D8" s="68">
        <f t="shared" si="2"/>
        <v>358993.9964325</v>
      </c>
      <c r="E8" s="5">
        <f t="shared" si="3"/>
        <v>1002.2807519999998</v>
      </c>
      <c r="F8" s="6">
        <f>G7*('Estructura de Costos Usados'!$B$13/12)</f>
        <v>2325.2913446399994</v>
      </c>
      <c r="G8" s="68">
        <f t="shared" si="4"/>
        <v>115262.28647999995</v>
      </c>
      <c r="H8" s="5">
        <f t="shared" si="5"/>
        <v>1962.7998059999998</v>
      </c>
      <c r="I8" s="6">
        <f>J7*('Estructura de Costos Usados'!$B$13/12)</f>
        <v>4553.69554992</v>
      </c>
      <c r="J8" s="68">
        <f t="shared" si="6"/>
        <v>225721.97769</v>
      </c>
      <c r="K8" s="5">
        <f t="shared" si="7"/>
        <v>1252.8509399999998</v>
      </c>
      <c r="L8" s="6">
        <f>M7*('Estructura de Costos Usados'!$B$13/12)</f>
        <v>2906.6141807999993</v>
      </c>
      <c r="M8" s="68">
        <f t="shared" si="8"/>
        <v>144077.85809999995</v>
      </c>
    </row>
    <row r="9" spans="1:13" ht="12.75">
      <c r="A9" s="4">
        <f t="shared" si="0"/>
        <v>6</v>
      </c>
      <c r="B9" s="5">
        <f t="shared" si="1"/>
        <v>3121.6869254999997</v>
      </c>
      <c r="C9" s="6">
        <f>D8*('Estructura de Costos Usados'!$B$13/12)</f>
        <v>7179.879928650001</v>
      </c>
      <c r="D9" s="68">
        <f t="shared" si="2"/>
        <v>355872.309507</v>
      </c>
      <c r="E9" s="5">
        <f t="shared" si="3"/>
        <v>1002.2807519999998</v>
      </c>
      <c r="F9" s="6">
        <f>G8*('Estructura de Costos Usados'!$B$13/12)</f>
        <v>2305.245729599999</v>
      </c>
      <c r="G9" s="68">
        <f t="shared" si="4"/>
        <v>114260.00572799995</v>
      </c>
      <c r="H9" s="5">
        <f t="shared" si="5"/>
        <v>1962.7998059999998</v>
      </c>
      <c r="I9" s="6">
        <f>J8*('Estructura de Costos Usados'!$B$13/12)</f>
        <v>4514.4395538</v>
      </c>
      <c r="J9" s="68">
        <f t="shared" si="6"/>
        <v>223759.177884</v>
      </c>
      <c r="K9" s="5">
        <f t="shared" si="7"/>
        <v>1252.8509399999998</v>
      </c>
      <c r="L9" s="6">
        <f>M8*('Estructura de Costos Usados'!$B$13/12)</f>
        <v>2881.557161999999</v>
      </c>
      <c r="M9" s="68">
        <f t="shared" si="8"/>
        <v>142825.00715999995</v>
      </c>
    </row>
    <row r="10" spans="1:13" ht="12.75">
      <c r="A10" s="4">
        <f t="shared" si="0"/>
        <v>7</v>
      </c>
      <c r="B10" s="5">
        <f t="shared" si="1"/>
        <v>3121.6869254999997</v>
      </c>
      <c r="C10" s="6">
        <f>D9*('Estructura de Costos Usados'!$B$13/12)</f>
        <v>7117.446190140001</v>
      </c>
      <c r="D10" s="68">
        <f t="shared" si="2"/>
        <v>352750.62258150004</v>
      </c>
      <c r="E10" s="5">
        <f t="shared" si="3"/>
        <v>1002.2807519999998</v>
      </c>
      <c r="F10" s="6">
        <f>G9*('Estructura de Costos Usados'!$B$13/12)</f>
        <v>2285.200114559999</v>
      </c>
      <c r="G10" s="68">
        <f t="shared" si="4"/>
        <v>113257.72497599994</v>
      </c>
      <c r="H10" s="5">
        <f t="shared" si="5"/>
        <v>1962.7998059999998</v>
      </c>
      <c r="I10" s="6">
        <f>J9*('Estructura de Costos Usados'!$B$13/12)</f>
        <v>4475.18355768</v>
      </c>
      <c r="J10" s="68">
        <f t="shared" si="6"/>
        <v>221796.378078</v>
      </c>
      <c r="K10" s="5">
        <f t="shared" si="7"/>
        <v>1252.8509399999998</v>
      </c>
      <c r="L10" s="6">
        <f>M9*('Estructura de Costos Usados'!$B$13/12)</f>
        <v>2856.500143199999</v>
      </c>
      <c r="M10" s="68">
        <f t="shared" si="8"/>
        <v>141572.15621999995</v>
      </c>
    </row>
    <row r="11" spans="1:13" ht="12.75">
      <c r="A11" s="4">
        <f t="shared" si="0"/>
        <v>8</v>
      </c>
      <c r="B11" s="5">
        <f t="shared" si="1"/>
        <v>3121.6869254999997</v>
      </c>
      <c r="C11" s="6">
        <f>D10*('Estructura de Costos Usados'!$B$13/12)</f>
        <v>7055.012451630001</v>
      </c>
      <c r="D11" s="68">
        <f t="shared" si="2"/>
        <v>349628.93565600005</v>
      </c>
      <c r="E11" s="5">
        <f t="shared" si="3"/>
        <v>1002.2807519999998</v>
      </c>
      <c r="F11" s="6">
        <f>G10*('Estructura de Costos Usados'!$B$13/12)</f>
        <v>2265.154499519999</v>
      </c>
      <c r="G11" s="68">
        <f t="shared" si="4"/>
        <v>112255.44422399993</v>
      </c>
      <c r="H11" s="5">
        <f t="shared" si="5"/>
        <v>1962.7998059999998</v>
      </c>
      <c r="I11" s="6">
        <f>J10*('Estructura de Costos Usados'!$B$13/12)</f>
        <v>4435.92756156</v>
      </c>
      <c r="J11" s="68">
        <f t="shared" si="6"/>
        <v>219833.578272</v>
      </c>
      <c r="K11" s="5">
        <f t="shared" si="7"/>
        <v>1252.8509399999998</v>
      </c>
      <c r="L11" s="6">
        <f>M10*('Estructura de Costos Usados'!$B$13/12)</f>
        <v>2831.443124399999</v>
      </c>
      <c r="M11" s="68">
        <f t="shared" si="8"/>
        <v>140319.30527999994</v>
      </c>
    </row>
    <row r="12" spans="1:13" ht="12.75">
      <c r="A12" s="4">
        <f t="shared" si="0"/>
        <v>9</v>
      </c>
      <c r="B12" s="5">
        <f t="shared" si="1"/>
        <v>3121.6869254999997</v>
      </c>
      <c r="C12" s="6">
        <f>D11*('Estructura de Costos Usados'!$B$13/12)</f>
        <v>6992.578713120001</v>
      </c>
      <c r="D12" s="68">
        <f t="shared" si="2"/>
        <v>346507.24873050005</v>
      </c>
      <c r="E12" s="5">
        <f t="shared" si="3"/>
        <v>1002.2807519999998</v>
      </c>
      <c r="F12" s="6">
        <f>G11*('Estructura de Costos Usados'!$B$13/12)</f>
        <v>2245.108884479999</v>
      </c>
      <c r="G12" s="68">
        <f t="shared" si="4"/>
        <v>111253.16347199993</v>
      </c>
      <c r="H12" s="5">
        <f t="shared" si="5"/>
        <v>1962.7998059999998</v>
      </c>
      <c r="I12" s="6">
        <f>J11*('Estructura de Costos Usados'!$B$13/12)</f>
        <v>4396.67156544</v>
      </c>
      <c r="J12" s="68">
        <f t="shared" si="6"/>
        <v>217870.77846600002</v>
      </c>
      <c r="K12" s="5">
        <f t="shared" si="7"/>
        <v>1252.8509399999998</v>
      </c>
      <c r="L12" s="6">
        <f>M11*('Estructura de Costos Usados'!$B$13/12)</f>
        <v>2806.3861055999987</v>
      </c>
      <c r="M12" s="68">
        <f t="shared" si="8"/>
        <v>139066.45433999994</v>
      </c>
    </row>
    <row r="13" spans="1:13" ht="12.75">
      <c r="A13" s="4">
        <f t="shared" si="0"/>
        <v>10</v>
      </c>
      <c r="B13" s="5">
        <f t="shared" si="1"/>
        <v>3121.6869254999997</v>
      </c>
      <c r="C13" s="6">
        <f>D12*('Estructura de Costos Usados'!$B$13/12)</f>
        <v>6930.144974610002</v>
      </c>
      <c r="D13" s="68">
        <f t="shared" si="2"/>
        <v>343385.56180500006</v>
      </c>
      <c r="E13" s="5">
        <f t="shared" si="3"/>
        <v>1002.2807519999998</v>
      </c>
      <c r="F13" s="6">
        <f>G12*('Estructura de Costos Usados'!$B$13/12)</f>
        <v>2225.0632694399987</v>
      </c>
      <c r="G13" s="68">
        <f t="shared" si="4"/>
        <v>110250.88271999992</v>
      </c>
      <c r="H13" s="5">
        <f t="shared" si="5"/>
        <v>1962.7998059999998</v>
      </c>
      <c r="I13" s="6">
        <f>J12*('Estructura de Costos Usados'!$B$13/12)</f>
        <v>4357.41556932</v>
      </c>
      <c r="J13" s="68">
        <f t="shared" si="6"/>
        <v>215907.97866000002</v>
      </c>
      <c r="K13" s="5">
        <f t="shared" si="7"/>
        <v>1252.8509399999998</v>
      </c>
      <c r="L13" s="6">
        <f>M12*('Estructura de Costos Usados'!$B$13/12)</f>
        <v>2781.329086799999</v>
      </c>
      <c r="M13" s="68">
        <f t="shared" si="8"/>
        <v>137813.60339999993</v>
      </c>
    </row>
    <row r="14" spans="1:13" ht="12.75">
      <c r="A14" s="4">
        <f t="shared" si="0"/>
        <v>11</v>
      </c>
      <c r="B14" s="5">
        <f t="shared" si="1"/>
        <v>3121.6869254999997</v>
      </c>
      <c r="C14" s="6">
        <f>D13*('Estructura de Costos Usados'!$B$13/12)</f>
        <v>6867.711236100002</v>
      </c>
      <c r="D14" s="68">
        <f t="shared" si="2"/>
        <v>340263.8748795001</v>
      </c>
      <c r="E14" s="5">
        <f t="shared" si="3"/>
        <v>1002.2807519999998</v>
      </c>
      <c r="F14" s="6">
        <f>G13*('Estructura de Costos Usados'!$B$13/12)</f>
        <v>2205.0176543999983</v>
      </c>
      <c r="G14" s="68">
        <f t="shared" si="4"/>
        <v>109248.60196799992</v>
      </c>
      <c r="H14" s="5">
        <f t="shared" si="5"/>
        <v>1962.7998059999998</v>
      </c>
      <c r="I14" s="6">
        <f>J13*('Estructura de Costos Usados'!$B$13/12)</f>
        <v>4318.1595732000005</v>
      </c>
      <c r="J14" s="68">
        <f t="shared" si="6"/>
        <v>213945.17885400003</v>
      </c>
      <c r="K14" s="5">
        <f t="shared" si="7"/>
        <v>1252.8509399999998</v>
      </c>
      <c r="L14" s="6">
        <f>M13*('Estructura de Costos Usados'!$B$13/12)</f>
        <v>2756.272067999999</v>
      </c>
      <c r="M14" s="68">
        <f t="shared" si="8"/>
        <v>136560.75245999993</v>
      </c>
    </row>
    <row r="15" spans="1:13" ht="12.75">
      <c r="A15" s="4">
        <f t="shared" si="0"/>
        <v>12</v>
      </c>
      <c r="B15" s="5">
        <f t="shared" si="1"/>
        <v>3121.6869254999997</v>
      </c>
      <c r="C15" s="6">
        <f>D14*('Estructura de Costos Usados'!$B$13/12)</f>
        <v>6805.277497590002</v>
      </c>
      <c r="D15" s="68">
        <f t="shared" si="2"/>
        <v>337142.1879540001</v>
      </c>
      <c r="E15" s="5">
        <f t="shared" si="3"/>
        <v>1002.2807519999998</v>
      </c>
      <c r="F15" s="6">
        <f>G14*('Estructura de Costos Usados'!$B$13/12)</f>
        <v>2184.9720393599982</v>
      </c>
      <c r="G15" s="68">
        <f t="shared" si="4"/>
        <v>108246.32121599991</v>
      </c>
      <c r="H15" s="5">
        <f t="shared" si="5"/>
        <v>1962.7998059999998</v>
      </c>
      <c r="I15" s="6">
        <f>J14*('Estructura de Costos Usados'!$B$13/12)</f>
        <v>4278.903577080001</v>
      </c>
      <c r="J15" s="68">
        <f t="shared" si="6"/>
        <v>211982.37904800003</v>
      </c>
      <c r="K15" s="5">
        <f t="shared" si="7"/>
        <v>1252.8509399999998</v>
      </c>
      <c r="L15" s="6">
        <f>M14*('Estructura de Costos Usados'!$B$13/12)</f>
        <v>2731.2150491999987</v>
      </c>
      <c r="M15" s="68">
        <f t="shared" si="8"/>
        <v>135307.90151999993</v>
      </c>
    </row>
    <row r="16" spans="1:13" ht="12.75">
      <c r="A16" s="4">
        <f t="shared" si="0"/>
        <v>13</v>
      </c>
      <c r="B16" s="5">
        <f t="shared" si="1"/>
        <v>3121.6869254999997</v>
      </c>
      <c r="C16" s="6">
        <f>D15*('Estructura de Costos Usados'!$B$13/12)</f>
        <v>6742.843759080002</v>
      </c>
      <c r="D16" s="68">
        <f t="shared" si="2"/>
        <v>334020.5010285001</v>
      </c>
      <c r="E16" s="5">
        <f t="shared" si="3"/>
        <v>1002.2807519999998</v>
      </c>
      <c r="F16" s="6">
        <f>G15*('Estructura de Costos Usados'!$B$13/12)</f>
        <v>2164.926424319998</v>
      </c>
      <c r="G16" s="68">
        <f t="shared" si="4"/>
        <v>107244.0404639999</v>
      </c>
      <c r="H16" s="5">
        <f t="shared" si="5"/>
        <v>1962.7998059999998</v>
      </c>
      <c r="I16" s="6">
        <f>J15*('Estructura de Costos Usados'!$B$13/12)</f>
        <v>4239.647580960001</v>
      </c>
      <c r="J16" s="68">
        <f t="shared" si="6"/>
        <v>210019.57924200004</v>
      </c>
      <c r="K16" s="5">
        <f t="shared" si="7"/>
        <v>1252.8509399999998</v>
      </c>
      <c r="L16" s="6">
        <f>M15*('Estructura de Costos Usados'!$B$13/12)</f>
        <v>2706.1580303999986</v>
      </c>
      <c r="M16" s="68">
        <f t="shared" si="8"/>
        <v>134055.05057999992</v>
      </c>
    </row>
    <row r="17" spans="1:13" ht="12.75">
      <c r="A17" s="4">
        <f t="shared" si="0"/>
        <v>14</v>
      </c>
      <c r="B17" s="5">
        <f t="shared" si="1"/>
        <v>3121.6869254999997</v>
      </c>
      <c r="C17" s="6">
        <f>D16*('Estructura de Costos Usados'!$B$13/12)</f>
        <v>6680.4100205700015</v>
      </c>
      <c r="D17" s="68">
        <f t="shared" si="2"/>
        <v>330898.8141030001</v>
      </c>
      <c r="E17" s="5">
        <f t="shared" si="3"/>
        <v>1002.2807519999998</v>
      </c>
      <c r="F17" s="6">
        <f>G16*('Estructura de Costos Usados'!$B$13/12)</f>
        <v>2144.880809279998</v>
      </c>
      <c r="G17" s="68">
        <f t="shared" si="4"/>
        <v>106241.7597119999</v>
      </c>
      <c r="H17" s="5">
        <f t="shared" si="5"/>
        <v>1962.7998059999998</v>
      </c>
      <c r="I17" s="6">
        <f>J16*('Estructura de Costos Usados'!$B$13/12)</f>
        <v>4200.391584840001</v>
      </c>
      <c r="J17" s="68">
        <f t="shared" si="6"/>
        <v>208056.77943600004</v>
      </c>
      <c r="K17" s="5">
        <f t="shared" si="7"/>
        <v>1252.8509399999998</v>
      </c>
      <c r="L17" s="6">
        <f>M16*('Estructura de Costos Usados'!$B$13/12)</f>
        <v>2681.1010115999984</v>
      </c>
      <c r="M17" s="68">
        <f t="shared" si="8"/>
        <v>132802.19963999992</v>
      </c>
    </row>
    <row r="18" spans="1:13" ht="12.75">
      <c r="A18" s="4">
        <f t="shared" si="0"/>
        <v>15</v>
      </c>
      <c r="B18" s="5">
        <f t="shared" si="1"/>
        <v>3121.6869254999997</v>
      </c>
      <c r="C18" s="6">
        <f>D17*('Estructura de Costos Usados'!$B$13/12)</f>
        <v>6617.976282060002</v>
      </c>
      <c r="D18" s="68">
        <f t="shared" si="2"/>
        <v>327777.1271775001</v>
      </c>
      <c r="E18" s="5">
        <f t="shared" si="3"/>
        <v>1002.2807519999998</v>
      </c>
      <c r="F18" s="6">
        <f>G17*('Estructura de Costos Usados'!$B$13/12)</f>
        <v>2124.835194239998</v>
      </c>
      <c r="G18" s="68">
        <f t="shared" si="4"/>
        <v>105239.47895999989</v>
      </c>
      <c r="H18" s="5">
        <f t="shared" si="5"/>
        <v>1962.7998059999998</v>
      </c>
      <c r="I18" s="6">
        <f>J17*('Estructura de Costos Usados'!$B$13/12)</f>
        <v>4161.135588720001</v>
      </c>
      <c r="J18" s="68">
        <f t="shared" si="6"/>
        <v>206093.97963000005</v>
      </c>
      <c r="K18" s="5">
        <f t="shared" si="7"/>
        <v>1252.8509399999998</v>
      </c>
      <c r="L18" s="6">
        <f>M17*('Estructura de Costos Usados'!$B$13/12)</f>
        <v>2656.0439927999983</v>
      </c>
      <c r="M18" s="68">
        <f t="shared" si="8"/>
        <v>131549.34869999991</v>
      </c>
    </row>
    <row r="19" spans="1:13" ht="12.75">
      <c r="A19" s="4">
        <f t="shared" si="0"/>
        <v>16</v>
      </c>
      <c r="B19" s="5">
        <f t="shared" si="1"/>
        <v>3121.6869254999997</v>
      </c>
      <c r="C19" s="6">
        <f>D18*('Estructura de Costos Usados'!$B$13/12)</f>
        <v>6555.542543550002</v>
      </c>
      <c r="D19" s="68">
        <f t="shared" si="2"/>
        <v>324655.4402520001</v>
      </c>
      <c r="E19" s="5">
        <f t="shared" si="3"/>
        <v>1002.2807519999998</v>
      </c>
      <c r="F19" s="6">
        <f>G18*('Estructura de Costos Usados'!$B$13/12)</f>
        <v>2104.7895791999977</v>
      </c>
      <c r="G19" s="68">
        <f t="shared" si="4"/>
        <v>104237.19820799989</v>
      </c>
      <c r="H19" s="5">
        <f t="shared" si="5"/>
        <v>1962.7998059999998</v>
      </c>
      <c r="I19" s="6">
        <f>J18*('Estructura de Costos Usados'!$B$13/12)</f>
        <v>4121.879592600001</v>
      </c>
      <c r="J19" s="68">
        <f t="shared" si="6"/>
        <v>204131.17982400005</v>
      </c>
      <c r="K19" s="5">
        <f t="shared" si="7"/>
        <v>1252.8509399999998</v>
      </c>
      <c r="L19" s="6">
        <f>M18*('Estructura de Costos Usados'!$B$13/12)</f>
        <v>2630.9869739999986</v>
      </c>
      <c r="M19" s="68">
        <f t="shared" si="8"/>
        <v>130296.49775999991</v>
      </c>
    </row>
    <row r="20" spans="1:13" ht="12.75">
      <c r="A20" s="4">
        <f t="shared" si="0"/>
        <v>17</v>
      </c>
      <c r="B20" s="5">
        <f t="shared" si="1"/>
        <v>3121.6869254999997</v>
      </c>
      <c r="C20" s="6">
        <f>D19*('Estructura de Costos Usados'!$B$13/12)</f>
        <v>6493.108805040002</v>
      </c>
      <c r="D20" s="68">
        <f t="shared" si="2"/>
        <v>321533.7533265001</v>
      </c>
      <c r="E20" s="5">
        <f t="shared" si="3"/>
        <v>1002.2807519999998</v>
      </c>
      <c r="F20" s="6">
        <f>G19*('Estructura de Costos Usados'!$B$13/12)</f>
        <v>2084.7439641599976</v>
      </c>
      <c r="G20" s="68">
        <f t="shared" si="4"/>
        <v>103234.91745599988</v>
      </c>
      <c r="H20" s="5">
        <f t="shared" si="5"/>
        <v>1962.7998059999998</v>
      </c>
      <c r="I20" s="6">
        <f>J19*('Estructura de Costos Usados'!$B$13/12)</f>
        <v>4082.623596480001</v>
      </c>
      <c r="J20" s="68">
        <f t="shared" si="6"/>
        <v>202168.38001800005</v>
      </c>
      <c r="K20" s="5">
        <f t="shared" si="7"/>
        <v>1252.8509399999998</v>
      </c>
      <c r="L20" s="6">
        <f>M19*('Estructura de Costos Usados'!$B$13/12)</f>
        <v>2605.9299551999984</v>
      </c>
      <c r="M20" s="68">
        <f t="shared" si="8"/>
        <v>129043.6468199999</v>
      </c>
    </row>
    <row r="21" spans="1:13" ht="12.75">
      <c r="A21" s="4">
        <f t="shared" si="0"/>
        <v>18</v>
      </c>
      <c r="B21" s="5">
        <f t="shared" si="1"/>
        <v>3121.6869254999997</v>
      </c>
      <c r="C21" s="6">
        <f>D20*('Estructura de Costos Usados'!$B$13/12)</f>
        <v>6430.675066530002</v>
      </c>
      <c r="D21" s="68">
        <f t="shared" si="2"/>
        <v>318412.06640100013</v>
      </c>
      <c r="E21" s="5">
        <f t="shared" si="3"/>
        <v>1002.2807519999998</v>
      </c>
      <c r="F21" s="6">
        <f>G20*('Estructura de Costos Usados'!$B$13/12)</f>
        <v>2064.6983491199976</v>
      </c>
      <c r="G21" s="68">
        <f t="shared" si="4"/>
        <v>102232.63670399987</v>
      </c>
      <c r="H21" s="5">
        <f t="shared" si="5"/>
        <v>1962.7998059999998</v>
      </c>
      <c r="I21" s="6">
        <f>J20*('Estructura de Costos Usados'!$B$13/12)</f>
        <v>4043.3676003600012</v>
      </c>
      <c r="J21" s="68">
        <f t="shared" si="6"/>
        <v>200205.58021200006</v>
      </c>
      <c r="K21" s="5">
        <f t="shared" si="7"/>
        <v>1252.8509399999998</v>
      </c>
      <c r="L21" s="6">
        <f>M20*('Estructura de Costos Usados'!$B$13/12)</f>
        <v>2580.8729363999983</v>
      </c>
      <c r="M21" s="68">
        <f t="shared" si="8"/>
        <v>127790.7958799999</v>
      </c>
    </row>
    <row r="22" spans="1:13" ht="12.75">
      <c r="A22" s="4">
        <f t="shared" si="0"/>
        <v>19</v>
      </c>
      <c r="B22" s="5">
        <f t="shared" si="1"/>
        <v>3121.6869254999997</v>
      </c>
      <c r="C22" s="6">
        <f>D21*('Estructura de Costos Usados'!$B$13/12)</f>
        <v>6368.241328020003</v>
      </c>
      <c r="D22" s="68">
        <f t="shared" si="2"/>
        <v>315290.37947550014</v>
      </c>
      <c r="E22" s="5">
        <f t="shared" si="3"/>
        <v>1002.2807519999998</v>
      </c>
      <c r="F22" s="6">
        <f>G21*('Estructura de Costos Usados'!$B$13/12)</f>
        <v>2044.6527340799976</v>
      </c>
      <c r="G22" s="68">
        <f t="shared" si="4"/>
        <v>101230.35595199987</v>
      </c>
      <c r="H22" s="5">
        <f t="shared" si="5"/>
        <v>1962.7998059999998</v>
      </c>
      <c r="I22" s="6">
        <f>J21*('Estructura de Costos Usados'!$B$13/12)</f>
        <v>4004.1116042400013</v>
      </c>
      <c r="J22" s="68">
        <f t="shared" si="6"/>
        <v>198242.78040600006</v>
      </c>
      <c r="K22" s="5">
        <f t="shared" si="7"/>
        <v>1252.8509399999998</v>
      </c>
      <c r="L22" s="6">
        <f>M21*('Estructura de Costos Usados'!$B$13/12)</f>
        <v>2555.815917599998</v>
      </c>
      <c r="M22" s="68">
        <f t="shared" si="8"/>
        <v>126537.9449399999</v>
      </c>
    </row>
    <row r="23" spans="1:13" ht="12.75">
      <c r="A23" s="4">
        <f t="shared" si="0"/>
        <v>20</v>
      </c>
      <c r="B23" s="5">
        <f t="shared" si="1"/>
        <v>3121.6869254999997</v>
      </c>
      <c r="C23" s="6">
        <f>D22*('Estructura de Costos Usados'!$B$13/12)</f>
        <v>6305.807589510003</v>
      </c>
      <c r="D23" s="68">
        <f t="shared" si="2"/>
        <v>312168.69255000015</v>
      </c>
      <c r="E23" s="5">
        <f t="shared" si="3"/>
        <v>1002.2807519999998</v>
      </c>
      <c r="F23" s="6">
        <f>G22*('Estructura de Costos Usados'!$B$13/12)</f>
        <v>2024.6071190399973</v>
      </c>
      <c r="G23" s="68">
        <f t="shared" si="4"/>
        <v>100228.07519999986</v>
      </c>
      <c r="H23" s="5">
        <f t="shared" si="5"/>
        <v>1962.7998059999998</v>
      </c>
      <c r="I23" s="6">
        <f>J22*('Estructura de Costos Usados'!$B$13/12)</f>
        <v>3964.8556081200013</v>
      </c>
      <c r="J23" s="68">
        <f t="shared" si="6"/>
        <v>196279.98060000007</v>
      </c>
      <c r="K23" s="5">
        <f t="shared" si="7"/>
        <v>1252.8509399999998</v>
      </c>
      <c r="L23" s="6">
        <f>M22*('Estructura de Costos Usados'!$B$13/12)</f>
        <v>2530.758898799998</v>
      </c>
      <c r="M23" s="68">
        <f t="shared" si="8"/>
        <v>125285.0939999999</v>
      </c>
    </row>
    <row r="24" spans="1:13" ht="12.75">
      <c r="A24" s="4">
        <f t="shared" si="0"/>
        <v>21</v>
      </c>
      <c r="B24" s="5">
        <f t="shared" si="1"/>
        <v>3121.6869254999997</v>
      </c>
      <c r="C24" s="6">
        <f>D23*('Estructura de Costos Usados'!$B$13/12)</f>
        <v>6243.373851000003</v>
      </c>
      <c r="D24" s="68">
        <f t="shared" si="2"/>
        <v>309047.00562450016</v>
      </c>
      <c r="E24" s="5">
        <f t="shared" si="3"/>
        <v>1002.2807519999998</v>
      </c>
      <c r="F24" s="6">
        <f>G23*('Estructura de Costos Usados'!$B$13/12)</f>
        <v>2004.5615039999973</v>
      </c>
      <c r="G24" s="68">
        <f t="shared" si="4"/>
        <v>99225.79444799986</v>
      </c>
      <c r="H24" s="5">
        <f t="shared" si="5"/>
        <v>1962.7998059999998</v>
      </c>
      <c r="I24" s="6">
        <f>J23*('Estructura de Costos Usados'!$B$13/12)</f>
        <v>3925.5996120000013</v>
      </c>
      <c r="J24" s="68">
        <f t="shared" si="6"/>
        <v>194317.18079400007</v>
      </c>
      <c r="K24" s="5">
        <f t="shared" si="7"/>
        <v>1252.8509399999998</v>
      </c>
      <c r="L24" s="6">
        <f>M23*('Estructura de Costos Usados'!$B$13/12)</f>
        <v>2505.701879999998</v>
      </c>
      <c r="M24" s="68">
        <f t="shared" si="8"/>
        <v>124032.24305999989</v>
      </c>
    </row>
    <row r="25" spans="1:13" ht="12.75">
      <c r="A25" s="4">
        <f t="shared" si="0"/>
        <v>22</v>
      </c>
      <c r="B25" s="5">
        <f t="shared" si="1"/>
        <v>3121.6869254999997</v>
      </c>
      <c r="C25" s="6">
        <f>D24*('Estructura de Costos Usados'!$B$13/12)</f>
        <v>6180.940112490003</v>
      </c>
      <c r="D25" s="68">
        <f t="shared" si="2"/>
        <v>305925.31869900017</v>
      </c>
      <c r="E25" s="5">
        <f t="shared" si="3"/>
        <v>1002.2807519999998</v>
      </c>
      <c r="F25" s="6">
        <f>G24*('Estructura de Costos Usados'!$B$13/12)</f>
        <v>1984.5158889599973</v>
      </c>
      <c r="G25" s="68">
        <f t="shared" si="4"/>
        <v>98223.51369599985</v>
      </c>
      <c r="H25" s="5">
        <f t="shared" si="5"/>
        <v>1962.7998059999998</v>
      </c>
      <c r="I25" s="6">
        <f>J24*('Estructura de Costos Usados'!$B$13/12)</f>
        <v>3886.3436158800014</v>
      </c>
      <c r="J25" s="68">
        <f t="shared" si="6"/>
        <v>192354.38098800008</v>
      </c>
      <c r="K25" s="5">
        <f t="shared" si="7"/>
        <v>1252.8509399999998</v>
      </c>
      <c r="L25" s="6">
        <f>M24*('Estructura de Costos Usados'!$B$13/12)</f>
        <v>2480.644861199998</v>
      </c>
      <c r="M25" s="68">
        <f t="shared" si="8"/>
        <v>122779.39211999989</v>
      </c>
    </row>
    <row r="26" spans="1:13" ht="12.75">
      <c r="A26" s="4">
        <f t="shared" si="0"/>
        <v>23</v>
      </c>
      <c r="B26" s="5">
        <f t="shared" si="1"/>
        <v>3121.6869254999997</v>
      </c>
      <c r="C26" s="6">
        <f>D25*('Estructura de Costos Usados'!$B$13/12)</f>
        <v>6118.506373980003</v>
      </c>
      <c r="D26" s="68">
        <f t="shared" si="2"/>
        <v>302803.6317735002</v>
      </c>
      <c r="E26" s="5">
        <f t="shared" si="3"/>
        <v>1002.2807519999998</v>
      </c>
      <c r="F26" s="6">
        <f>G25*('Estructura de Costos Usados'!$B$13/12)</f>
        <v>1964.470273919997</v>
      </c>
      <c r="G26" s="68">
        <f t="shared" si="4"/>
        <v>97221.23294399984</v>
      </c>
      <c r="H26" s="5">
        <f t="shared" si="5"/>
        <v>1962.7998059999998</v>
      </c>
      <c r="I26" s="6">
        <f>J25*('Estructura de Costos Usados'!$B$13/12)</f>
        <v>3847.0876197600014</v>
      </c>
      <c r="J26" s="68">
        <f t="shared" si="6"/>
        <v>190391.58118200008</v>
      </c>
      <c r="K26" s="5">
        <f t="shared" si="7"/>
        <v>1252.8509399999998</v>
      </c>
      <c r="L26" s="6">
        <f>M25*('Estructura de Costos Usados'!$B$13/12)</f>
        <v>2455.587842399998</v>
      </c>
      <c r="M26" s="68">
        <f t="shared" si="8"/>
        <v>121526.54117999988</v>
      </c>
    </row>
    <row r="27" spans="1:13" ht="12.75">
      <c r="A27" s="4">
        <f t="shared" si="0"/>
        <v>24</v>
      </c>
      <c r="B27" s="5">
        <f t="shared" si="1"/>
        <v>3121.6869254999997</v>
      </c>
      <c r="C27" s="6">
        <f>D26*('Estructura de Costos Usados'!$B$13/12)</f>
        <v>6056.072635470004</v>
      </c>
      <c r="D27" s="68">
        <f t="shared" si="2"/>
        <v>299681.9448480002</v>
      </c>
      <c r="E27" s="5">
        <f t="shared" si="3"/>
        <v>1002.2807519999998</v>
      </c>
      <c r="F27" s="6">
        <f>G26*('Estructura de Costos Usados'!$B$13/12)</f>
        <v>1944.424658879997</v>
      </c>
      <c r="G27" s="68">
        <f t="shared" si="4"/>
        <v>96218.95219199984</v>
      </c>
      <c r="H27" s="5">
        <f t="shared" si="5"/>
        <v>1962.7998059999998</v>
      </c>
      <c r="I27" s="6">
        <f>J26*('Estructura de Costos Usados'!$B$13/12)</f>
        <v>3807.831623640002</v>
      </c>
      <c r="J27" s="68">
        <f t="shared" si="6"/>
        <v>188428.7813760001</v>
      </c>
      <c r="K27" s="5">
        <f t="shared" si="7"/>
        <v>1252.8509399999998</v>
      </c>
      <c r="L27" s="6">
        <f>M26*('Estructura de Costos Usados'!$B$13/12)</f>
        <v>2430.530823599998</v>
      </c>
      <c r="M27" s="68">
        <f t="shared" si="8"/>
        <v>120273.69023999988</v>
      </c>
    </row>
    <row r="28" spans="1:13" ht="12.75">
      <c r="A28" s="4">
        <f t="shared" si="0"/>
        <v>25</v>
      </c>
      <c r="B28" s="5">
        <f t="shared" si="1"/>
        <v>3121.6869254999997</v>
      </c>
      <c r="C28" s="6">
        <f>D27*('Estructura de Costos Usados'!$B$13/12)</f>
        <v>5993.638896960004</v>
      </c>
      <c r="D28" s="68">
        <f t="shared" si="2"/>
        <v>296560.2579225002</v>
      </c>
      <c r="E28" s="5">
        <f t="shared" si="3"/>
        <v>1002.2807519999998</v>
      </c>
      <c r="F28" s="6">
        <f>G27*('Estructura de Costos Usados'!$B$13/12)</f>
        <v>1924.3790438399967</v>
      </c>
      <c r="G28" s="68">
        <f t="shared" si="4"/>
        <v>95216.67143999983</v>
      </c>
      <c r="H28" s="5">
        <f t="shared" si="5"/>
        <v>1962.7998059999998</v>
      </c>
      <c r="I28" s="6">
        <f>J27*('Estructura de Costos Usados'!$B$13/12)</f>
        <v>3768.575627520002</v>
      </c>
      <c r="J28" s="68">
        <f t="shared" si="6"/>
        <v>186465.9815700001</v>
      </c>
      <c r="K28" s="5">
        <f t="shared" si="7"/>
        <v>1252.8509399999998</v>
      </c>
      <c r="L28" s="6">
        <f>M27*('Estructura de Costos Usados'!$B$13/12)</f>
        <v>2405.4738047999977</v>
      </c>
      <c r="M28" s="68">
        <f t="shared" si="8"/>
        <v>119020.83929999988</v>
      </c>
    </row>
    <row r="29" spans="1:13" ht="12.75">
      <c r="A29" s="4">
        <f t="shared" si="0"/>
        <v>26</v>
      </c>
      <c r="B29" s="5">
        <f t="shared" si="1"/>
        <v>3121.6869254999997</v>
      </c>
      <c r="C29" s="6">
        <f>D28*('Estructura de Costos Usados'!$B$13/12)</f>
        <v>5931.205158450004</v>
      </c>
      <c r="D29" s="68">
        <f t="shared" si="2"/>
        <v>293438.5709970002</v>
      </c>
      <c r="E29" s="5">
        <f t="shared" si="3"/>
        <v>1002.2807519999998</v>
      </c>
      <c r="F29" s="6">
        <f>G28*('Estructura de Costos Usados'!$B$13/12)</f>
        <v>1904.3334287999967</v>
      </c>
      <c r="G29" s="68">
        <f t="shared" si="4"/>
        <v>94214.39068799982</v>
      </c>
      <c r="H29" s="5">
        <f t="shared" si="5"/>
        <v>1962.7998059999998</v>
      </c>
      <c r="I29" s="6">
        <f>J28*('Estructura de Costos Usados'!$B$13/12)</f>
        <v>3729.319631400002</v>
      </c>
      <c r="J29" s="68">
        <f t="shared" si="6"/>
        <v>184503.1817640001</v>
      </c>
      <c r="K29" s="5">
        <f t="shared" si="7"/>
        <v>1252.8509399999998</v>
      </c>
      <c r="L29" s="6">
        <f>M28*('Estructura de Costos Usados'!$B$13/12)</f>
        <v>2380.4167859999975</v>
      </c>
      <c r="M29" s="68">
        <f t="shared" si="8"/>
        <v>117767.98835999987</v>
      </c>
    </row>
    <row r="30" spans="1:13" ht="12.75">
      <c r="A30" s="4">
        <f t="shared" si="0"/>
        <v>27</v>
      </c>
      <c r="B30" s="5">
        <f t="shared" si="1"/>
        <v>3121.6869254999997</v>
      </c>
      <c r="C30" s="6">
        <f>D29*('Estructura de Costos Usados'!$B$13/12)</f>
        <v>5868.771419940004</v>
      </c>
      <c r="D30" s="68">
        <f t="shared" si="2"/>
        <v>290316.8840715002</v>
      </c>
      <c r="E30" s="5">
        <f t="shared" si="3"/>
        <v>1002.2807519999998</v>
      </c>
      <c r="F30" s="6">
        <f>G29*('Estructura de Costos Usados'!$B$13/12)</f>
        <v>1884.2878137599964</v>
      </c>
      <c r="G30" s="68">
        <f t="shared" si="4"/>
        <v>93212.10993599982</v>
      </c>
      <c r="H30" s="5">
        <f t="shared" si="5"/>
        <v>1962.7998059999998</v>
      </c>
      <c r="I30" s="6">
        <f>J29*('Estructura de Costos Usados'!$B$13/12)</f>
        <v>3690.063635280002</v>
      </c>
      <c r="J30" s="68">
        <f t="shared" si="6"/>
        <v>182540.3819580001</v>
      </c>
      <c r="K30" s="5">
        <f t="shared" si="7"/>
        <v>1252.8509399999998</v>
      </c>
      <c r="L30" s="6">
        <f>M29*('Estructura de Costos Usados'!$B$13/12)</f>
        <v>2355.3597671999973</v>
      </c>
      <c r="M30" s="68">
        <f t="shared" si="8"/>
        <v>116515.13741999987</v>
      </c>
    </row>
    <row r="31" spans="1:13" ht="12.75">
      <c r="A31" s="4">
        <f t="shared" si="0"/>
        <v>28</v>
      </c>
      <c r="B31" s="5">
        <f t="shared" si="1"/>
        <v>3121.6869254999997</v>
      </c>
      <c r="C31" s="6">
        <f>D30*('Estructura de Costos Usados'!$B$13/12)</f>
        <v>5806.3376814300045</v>
      </c>
      <c r="D31" s="68">
        <f t="shared" si="2"/>
        <v>287195.1971460002</v>
      </c>
      <c r="E31" s="5">
        <f t="shared" si="3"/>
        <v>1002.2807519999998</v>
      </c>
      <c r="F31" s="6">
        <f>G30*('Estructura de Costos Usados'!$B$13/12)</f>
        <v>1864.2421987199964</v>
      </c>
      <c r="G31" s="68">
        <f t="shared" si="4"/>
        <v>92209.82918399981</v>
      </c>
      <c r="H31" s="5">
        <f t="shared" si="5"/>
        <v>1962.7998059999998</v>
      </c>
      <c r="I31" s="6">
        <f>J30*('Estructura de Costos Usados'!$B$13/12)</f>
        <v>3650.807639160002</v>
      </c>
      <c r="J31" s="68">
        <f t="shared" si="6"/>
        <v>180577.5821520001</v>
      </c>
      <c r="K31" s="5">
        <f t="shared" si="7"/>
        <v>1252.8509399999998</v>
      </c>
      <c r="L31" s="6">
        <f>M30*('Estructura de Costos Usados'!$B$13/12)</f>
        <v>2330.302748399997</v>
      </c>
      <c r="M31" s="68">
        <f t="shared" si="8"/>
        <v>115262.28647999986</v>
      </c>
    </row>
    <row r="32" spans="1:13" ht="12.75">
      <c r="A32" s="4">
        <f t="shared" si="0"/>
        <v>29</v>
      </c>
      <c r="B32" s="5">
        <f t="shared" si="1"/>
        <v>3121.6869254999997</v>
      </c>
      <c r="C32" s="6">
        <f>D31*('Estructura de Costos Usados'!$B$13/12)</f>
        <v>5743.903942920005</v>
      </c>
      <c r="D32" s="68">
        <f t="shared" si="2"/>
        <v>284073.51022050023</v>
      </c>
      <c r="E32" s="5">
        <f t="shared" si="3"/>
        <v>1002.2807519999998</v>
      </c>
      <c r="F32" s="6">
        <f>G31*('Estructura de Costos Usados'!$B$13/12)</f>
        <v>1844.1965836799964</v>
      </c>
      <c r="G32" s="68">
        <f t="shared" si="4"/>
        <v>91207.5484319998</v>
      </c>
      <c r="H32" s="5">
        <f t="shared" si="5"/>
        <v>1962.7998059999998</v>
      </c>
      <c r="I32" s="6">
        <f>J31*('Estructura de Costos Usados'!$B$13/12)</f>
        <v>3611.551643040002</v>
      </c>
      <c r="J32" s="68">
        <f t="shared" si="6"/>
        <v>178614.7823460001</v>
      </c>
      <c r="K32" s="5">
        <f t="shared" si="7"/>
        <v>1252.8509399999998</v>
      </c>
      <c r="L32" s="6">
        <f>M31*('Estructura de Costos Usados'!$B$13/12)</f>
        <v>2305.2457295999975</v>
      </c>
      <c r="M32" s="68">
        <f t="shared" si="8"/>
        <v>114009.43553999986</v>
      </c>
    </row>
    <row r="33" spans="1:13" ht="12.75">
      <c r="A33" s="4">
        <f t="shared" si="0"/>
        <v>30</v>
      </c>
      <c r="B33" s="5">
        <f t="shared" si="1"/>
        <v>3121.6869254999997</v>
      </c>
      <c r="C33" s="6">
        <f>D32*('Estructura de Costos Usados'!$B$13/12)</f>
        <v>5681.470204410005</v>
      </c>
      <c r="D33" s="68">
        <f aca="true" t="shared" si="9" ref="D33:D72">D32-B33</f>
        <v>280951.82329500024</v>
      </c>
      <c r="E33" s="5">
        <f t="shared" si="3"/>
        <v>1002.2807519999998</v>
      </c>
      <c r="F33" s="6">
        <f>G32*('Estructura de Costos Usados'!$B$13/12)</f>
        <v>1824.150968639996</v>
      </c>
      <c r="G33" s="68">
        <f t="shared" si="4"/>
        <v>90205.2676799998</v>
      </c>
      <c r="H33" s="5">
        <f t="shared" si="5"/>
        <v>1962.7998059999998</v>
      </c>
      <c r="I33" s="6">
        <f>J32*('Estructura de Costos Usados'!$B$13/12)</f>
        <v>3572.295646920002</v>
      </c>
      <c r="J33" s="68">
        <f t="shared" si="6"/>
        <v>176651.9825400001</v>
      </c>
      <c r="K33" s="5">
        <f t="shared" si="7"/>
        <v>1252.8509399999998</v>
      </c>
      <c r="L33" s="6">
        <f>M32*('Estructura de Costos Usados'!$B$13/12)</f>
        <v>2280.1887107999974</v>
      </c>
      <c r="M33" s="68">
        <f t="shared" si="8"/>
        <v>112756.58459999986</v>
      </c>
    </row>
    <row r="34" spans="1:13" ht="12.75">
      <c r="A34" s="4">
        <f t="shared" si="0"/>
        <v>31</v>
      </c>
      <c r="B34" s="5">
        <f t="shared" si="1"/>
        <v>3121.6869254999997</v>
      </c>
      <c r="C34" s="6">
        <f>D33*('Estructura de Costos Usados'!$B$13/12)</f>
        <v>5619.036465900005</v>
      </c>
      <c r="D34" s="68">
        <f t="shared" si="9"/>
        <v>277830.13636950025</v>
      </c>
      <c r="E34" s="5">
        <f t="shared" si="3"/>
        <v>1002.2807519999998</v>
      </c>
      <c r="F34" s="6">
        <f>G33*('Estructura de Costos Usados'!$B$13/12)</f>
        <v>1804.105353599996</v>
      </c>
      <c r="G34" s="68">
        <f t="shared" si="4"/>
        <v>89202.9869279998</v>
      </c>
      <c r="H34" s="5">
        <f t="shared" si="5"/>
        <v>1962.7998059999998</v>
      </c>
      <c r="I34" s="6">
        <f>J33*('Estructura de Costos Usados'!$B$13/12)</f>
        <v>3533.039650800002</v>
      </c>
      <c r="J34" s="68">
        <f t="shared" si="6"/>
        <v>174689.18273400012</v>
      </c>
      <c r="K34" s="5">
        <f t="shared" si="7"/>
        <v>1252.8509399999998</v>
      </c>
      <c r="L34" s="6">
        <f>M33*('Estructura de Costos Usados'!$B$13/12)</f>
        <v>2255.131691999997</v>
      </c>
      <c r="M34" s="68">
        <f t="shared" si="8"/>
        <v>111503.73365999985</v>
      </c>
    </row>
    <row r="35" spans="1:13" ht="12.75">
      <c r="A35" s="4">
        <f t="shared" si="0"/>
        <v>32</v>
      </c>
      <c r="B35" s="5">
        <f t="shared" si="1"/>
        <v>3121.6869254999997</v>
      </c>
      <c r="C35" s="6">
        <f>D34*('Estructura de Costos Usados'!$B$13/12)</f>
        <v>5556.602727390005</v>
      </c>
      <c r="D35" s="68">
        <f t="shared" si="9"/>
        <v>274708.44944400026</v>
      </c>
      <c r="E35" s="5">
        <f t="shared" si="3"/>
        <v>1002.2807519999998</v>
      </c>
      <c r="F35" s="6">
        <f>G34*('Estructura de Costos Usados'!$B$13/12)</f>
        <v>1784.0597385599958</v>
      </c>
      <c r="G35" s="68">
        <f t="shared" si="4"/>
        <v>88200.70617599979</v>
      </c>
      <c r="H35" s="5">
        <f t="shared" si="5"/>
        <v>1962.7998059999998</v>
      </c>
      <c r="I35" s="6">
        <f>J34*('Estructura de Costos Usados'!$B$13/12)</f>
        <v>3493.7836546800027</v>
      </c>
      <c r="J35" s="68">
        <f t="shared" si="6"/>
        <v>172726.38292800012</v>
      </c>
      <c r="K35" s="5">
        <f t="shared" si="7"/>
        <v>1252.8509399999998</v>
      </c>
      <c r="L35" s="6">
        <f>M34*('Estructura de Costos Usados'!$B$13/12)</f>
        <v>2230.074673199997</v>
      </c>
      <c r="M35" s="68">
        <f t="shared" si="8"/>
        <v>110250.88271999985</v>
      </c>
    </row>
    <row r="36" spans="1:13" ht="12.75">
      <c r="A36" s="4">
        <f t="shared" si="0"/>
        <v>33</v>
      </c>
      <c r="B36" s="5">
        <f t="shared" si="1"/>
        <v>3121.6869254999997</v>
      </c>
      <c r="C36" s="6">
        <f>D35*('Estructura de Costos Usados'!$B$13/12)</f>
        <v>5494.168988880006</v>
      </c>
      <c r="D36" s="68">
        <f t="shared" si="9"/>
        <v>271586.76251850027</v>
      </c>
      <c r="E36" s="5">
        <f t="shared" si="3"/>
        <v>1002.2807519999998</v>
      </c>
      <c r="F36" s="6">
        <f>G35*('Estructura de Costos Usados'!$B$13/12)</f>
        <v>1764.0141235199958</v>
      </c>
      <c r="G36" s="68">
        <f t="shared" si="4"/>
        <v>87198.42542399978</v>
      </c>
      <c r="H36" s="5">
        <f t="shared" si="5"/>
        <v>1962.7998059999998</v>
      </c>
      <c r="I36" s="6">
        <f>J35*('Estructura de Costos Usados'!$B$13/12)</f>
        <v>3454.5276585600027</v>
      </c>
      <c r="J36" s="68">
        <f t="shared" si="6"/>
        <v>170763.58312200013</v>
      </c>
      <c r="K36" s="5">
        <f t="shared" si="7"/>
        <v>1252.8509399999998</v>
      </c>
      <c r="L36" s="6">
        <f>M35*('Estructura de Costos Usados'!$B$13/12)</f>
        <v>2205.017654399997</v>
      </c>
      <c r="M36" s="68">
        <f t="shared" si="8"/>
        <v>108998.03177999984</v>
      </c>
    </row>
    <row r="37" spans="1:13" ht="12.75">
      <c r="A37" s="4">
        <f t="shared" si="0"/>
        <v>34</v>
      </c>
      <c r="B37" s="5">
        <f t="shared" si="1"/>
        <v>3121.6869254999997</v>
      </c>
      <c r="C37" s="6">
        <f>D36*('Estructura de Costos Usados'!$B$13/12)</f>
        <v>5431.735250370006</v>
      </c>
      <c r="D37" s="68">
        <f t="shared" si="9"/>
        <v>268465.0755930003</v>
      </c>
      <c r="E37" s="5">
        <f t="shared" si="3"/>
        <v>1002.2807519999998</v>
      </c>
      <c r="F37" s="6">
        <f>G36*('Estructura de Costos Usados'!$B$13/12)</f>
        <v>1743.9685084799958</v>
      </c>
      <c r="G37" s="68">
        <f t="shared" si="4"/>
        <v>86196.14467199978</v>
      </c>
      <c r="H37" s="5">
        <f t="shared" si="5"/>
        <v>1962.7998059999998</v>
      </c>
      <c r="I37" s="6">
        <f>J36*('Estructura de Costos Usados'!$B$13/12)</f>
        <v>3415.2716624400027</v>
      </c>
      <c r="J37" s="68">
        <f t="shared" si="6"/>
        <v>168800.78331600013</v>
      </c>
      <c r="K37" s="5">
        <f t="shared" si="7"/>
        <v>1252.8509399999998</v>
      </c>
      <c r="L37" s="6">
        <f>M36*('Estructura de Costos Usados'!$B$13/12)</f>
        <v>2179.9606355999967</v>
      </c>
      <c r="M37" s="68">
        <f t="shared" si="8"/>
        <v>107745.18083999984</v>
      </c>
    </row>
    <row r="38" spans="1:13" ht="12.75">
      <c r="A38" s="4">
        <f t="shared" si="0"/>
        <v>35</v>
      </c>
      <c r="B38" s="5">
        <f t="shared" si="1"/>
        <v>3121.6869254999997</v>
      </c>
      <c r="C38" s="6">
        <f>D37*('Estructura de Costos Usados'!$B$13/12)</f>
        <v>5369.301511860006</v>
      </c>
      <c r="D38" s="68">
        <f t="shared" si="9"/>
        <v>265343.3886675003</v>
      </c>
      <c r="E38" s="5">
        <f t="shared" si="3"/>
        <v>1002.2807519999998</v>
      </c>
      <c r="F38" s="6">
        <f>G37*('Estructura de Costos Usados'!$B$13/12)</f>
        <v>1723.9228934399955</v>
      </c>
      <c r="G38" s="68">
        <f t="shared" si="4"/>
        <v>85193.86391999977</v>
      </c>
      <c r="H38" s="5">
        <f t="shared" si="5"/>
        <v>1962.7998059999998</v>
      </c>
      <c r="I38" s="6">
        <f>J37*('Estructura de Costos Usados'!$B$13/12)</f>
        <v>3376.0156663200028</v>
      </c>
      <c r="J38" s="68">
        <f t="shared" si="6"/>
        <v>166837.98351000014</v>
      </c>
      <c r="K38" s="5">
        <f t="shared" si="7"/>
        <v>1252.8509399999998</v>
      </c>
      <c r="L38" s="6">
        <f>M37*('Estructura de Costos Usados'!$B$13/12)</f>
        <v>2154.903616799997</v>
      </c>
      <c r="M38" s="68">
        <f t="shared" si="8"/>
        <v>106492.32989999984</v>
      </c>
    </row>
    <row r="39" spans="1:13" ht="12.75">
      <c r="A39" s="4">
        <f t="shared" si="0"/>
        <v>36</v>
      </c>
      <c r="B39" s="5">
        <f t="shared" si="1"/>
        <v>3121.6869254999997</v>
      </c>
      <c r="C39" s="6">
        <f>D38*('Estructura de Costos Usados'!$B$13/12)</f>
        <v>5306.867773350006</v>
      </c>
      <c r="D39" s="68">
        <f t="shared" si="9"/>
        <v>262221.7017420003</v>
      </c>
      <c r="E39" s="5">
        <f t="shared" si="3"/>
        <v>1002.2807519999998</v>
      </c>
      <c r="F39" s="6">
        <f>G38*('Estructura de Costos Usados'!$B$13/12)</f>
        <v>1703.8772783999955</v>
      </c>
      <c r="G39" s="68">
        <f t="shared" si="4"/>
        <v>84191.58316799976</v>
      </c>
      <c r="H39" s="5">
        <f t="shared" si="5"/>
        <v>1962.7998059999998</v>
      </c>
      <c r="I39" s="6">
        <f>J38*('Estructura de Costos Usados'!$B$13/12)</f>
        <v>3336.759670200003</v>
      </c>
      <c r="J39" s="68">
        <f t="shared" si="6"/>
        <v>164875.18370400014</v>
      </c>
      <c r="K39" s="5">
        <f t="shared" si="7"/>
        <v>1252.8509399999998</v>
      </c>
      <c r="L39" s="6">
        <f>M38*('Estructura de Costos Usados'!$B$13/12)</f>
        <v>2129.846597999997</v>
      </c>
      <c r="M39" s="68">
        <f t="shared" si="8"/>
        <v>105239.47895999983</v>
      </c>
    </row>
    <row r="40" spans="1:13" ht="12.75">
      <c r="A40" s="4">
        <f t="shared" si="0"/>
        <v>37</v>
      </c>
      <c r="B40" s="5">
        <f t="shared" si="1"/>
        <v>3121.6869254999997</v>
      </c>
      <c r="C40" s="6">
        <f>D39*('Estructura de Costos Usados'!$B$13/12)</f>
        <v>5244.4340348400065</v>
      </c>
      <c r="D40" s="68">
        <f t="shared" si="9"/>
        <v>259100.0148165003</v>
      </c>
      <c r="E40" s="5">
        <f t="shared" si="3"/>
        <v>1002.2807519999998</v>
      </c>
      <c r="F40" s="6">
        <f>G39*('Estructura de Costos Usados'!$B$13/12)</f>
        <v>1683.8316633599952</v>
      </c>
      <c r="G40" s="68">
        <f t="shared" si="4"/>
        <v>83189.30241599976</v>
      </c>
      <c r="H40" s="5">
        <f t="shared" si="5"/>
        <v>1962.7998059999998</v>
      </c>
      <c r="I40" s="6">
        <f>J39*('Estructura de Costos Usados'!$B$13/12)</f>
        <v>3297.503674080003</v>
      </c>
      <c r="J40" s="68">
        <f t="shared" si="6"/>
        <v>162912.38389800015</v>
      </c>
      <c r="K40" s="5">
        <f t="shared" si="7"/>
        <v>1252.8509399999998</v>
      </c>
      <c r="L40" s="6">
        <f>M39*('Estructura de Costos Usados'!$B$13/12)</f>
        <v>2104.7895791999968</v>
      </c>
      <c r="M40" s="68">
        <f t="shared" si="8"/>
        <v>103986.62801999983</v>
      </c>
    </row>
    <row r="41" spans="1:13" ht="12.75">
      <c r="A41" s="4">
        <f t="shared" si="0"/>
        <v>38</v>
      </c>
      <c r="B41" s="5">
        <f t="shared" si="1"/>
        <v>3121.6869254999997</v>
      </c>
      <c r="C41" s="6">
        <f>D40*('Estructura de Costos Usados'!$B$13/12)</f>
        <v>5182.000296330006</v>
      </c>
      <c r="D41" s="68">
        <f t="shared" si="9"/>
        <v>255978.3278910003</v>
      </c>
      <c r="E41" s="5">
        <f t="shared" si="3"/>
        <v>1002.2807519999998</v>
      </c>
      <c r="F41" s="6">
        <f>G40*('Estructura de Costos Usados'!$B$13/12)</f>
        <v>1663.7860483199952</v>
      </c>
      <c r="G41" s="68">
        <f t="shared" si="4"/>
        <v>82187.02166399975</v>
      </c>
      <c r="H41" s="5">
        <f t="shared" si="5"/>
        <v>1962.7998059999998</v>
      </c>
      <c r="I41" s="6">
        <f>J40*('Estructura de Costos Usados'!$B$13/12)</f>
        <v>3258.247677960003</v>
      </c>
      <c r="J41" s="68">
        <f t="shared" si="6"/>
        <v>160949.58409200015</v>
      </c>
      <c r="K41" s="5">
        <f t="shared" si="7"/>
        <v>1252.8509399999998</v>
      </c>
      <c r="L41" s="6">
        <f>M40*('Estructura de Costos Usados'!$B$13/12)</f>
        <v>2079.7325603999966</v>
      </c>
      <c r="M41" s="68">
        <f t="shared" si="8"/>
        <v>102733.77707999983</v>
      </c>
    </row>
    <row r="42" spans="1:13" ht="12.75">
      <c r="A42" s="4">
        <f t="shared" si="0"/>
        <v>39</v>
      </c>
      <c r="B42" s="5">
        <f t="shared" si="1"/>
        <v>3121.6869254999997</v>
      </c>
      <c r="C42" s="6">
        <f>D41*('Estructura de Costos Usados'!$B$13/12)</f>
        <v>5119.566557820006</v>
      </c>
      <c r="D42" s="68">
        <f t="shared" si="9"/>
        <v>252856.64096550032</v>
      </c>
      <c r="E42" s="5">
        <f t="shared" si="3"/>
        <v>1002.2807519999998</v>
      </c>
      <c r="F42" s="6">
        <f>G41*('Estructura de Costos Usados'!$B$13/12)</f>
        <v>1643.7404332799952</v>
      </c>
      <c r="G42" s="68">
        <f t="shared" si="4"/>
        <v>81184.74091199975</v>
      </c>
      <c r="H42" s="5">
        <f t="shared" si="5"/>
        <v>1962.7998059999998</v>
      </c>
      <c r="I42" s="6">
        <f>J41*('Estructura de Costos Usados'!$B$13/12)</f>
        <v>3218.991681840003</v>
      </c>
      <c r="J42" s="68">
        <f t="shared" si="6"/>
        <v>158986.78428600015</v>
      </c>
      <c r="K42" s="5">
        <f t="shared" si="7"/>
        <v>1252.8509399999998</v>
      </c>
      <c r="L42" s="6">
        <f>M41*('Estructura de Costos Usados'!$B$13/12)</f>
        <v>2054.6755415999964</v>
      </c>
      <c r="M42" s="68">
        <f t="shared" si="8"/>
        <v>101480.92613999982</v>
      </c>
    </row>
    <row r="43" spans="1:13" ht="12.75">
      <c r="A43" s="4">
        <f t="shared" si="0"/>
        <v>40</v>
      </c>
      <c r="B43" s="5">
        <f t="shared" si="1"/>
        <v>3121.6869254999997</v>
      </c>
      <c r="C43" s="6">
        <f>D42*('Estructura de Costos Usados'!$B$13/12)</f>
        <v>5057.132819310006</v>
      </c>
      <c r="D43" s="68">
        <f t="shared" si="9"/>
        <v>249734.95404000033</v>
      </c>
      <c r="E43" s="5">
        <f t="shared" si="3"/>
        <v>1002.2807519999998</v>
      </c>
      <c r="F43" s="6">
        <f>G42*('Estructura de Costos Usados'!$B$13/12)</f>
        <v>1623.694818239995</v>
      </c>
      <c r="G43" s="68">
        <f t="shared" si="4"/>
        <v>80182.46015999974</v>
      </c>
      <c r="H43" s="5">
        <f t="shared" si="5"/>
        <v>1962.7998059999998</v>
      </c>
      <c r="I43" s="6">
        <f>J42*('Estructura de Costos Usados'!$B$13/12)</f>
        <v>3179.735685720003</v>
      </c>
      <c r="J43" s="68">
        <f t="shared" si="6"/>
        <v>157023.98448000016</v>
      </c>
      <c r="K43" s="5">
        <f t="shared" si="7"/>
        <v>1252.8509399999998</v>
      </c>
      <c r="L43" s="6">
        <f>M42*('Estructura de Costos Usados'!$B$13/12)</f>
        <v>2029.6185227999965</v>
      </c>
      <c r="M43" s="68">
        <f t="shared" si="8"/>
        <v>100228.07519999982</v>
      </c>
    </row>
    <row r="44" spans="1:13" ht="12.75">
      <c r="A44" s="4">
        <f t="shared" si="0"/>
        <v>41</v>
      </c>
      <c r="B44" s="5">
        <f t="shared" si="1"/>
        <v>3121.6869254999997</v>
      </c>
      <c r="C44" s="6">
        <f>D43*('Estructura de Costos Usados'!$B$13/12)</f>
        <v>4994.699080800006</v>
      </c>
      <c r="D44" s="68">
        <f t="shared" si="9"/>
        <v>246613.26711450034</v>
      </c>
      <c r="E44" s="5">
        <f t="shared" si="3"/>
        <v>1002.2807519999998</v>
      </c>
      <c r="F44" s="6">
        <f>G43*('Estructura de Costos Usados'!$B$13/12)</f>
        <v>1603.6492031999949</v>
      </c>
      <c r="G44" s="68">
        <f t="shared" si="4"/>
        <v>79180.17940799973</v>
      </c>
      <c r="H44" s="5">
        <f t="shared" si="5"/>
        <v>1962.7998059999998</v>
      </c>
      <c r="I44" s="6">
        <f>J43*('Estructura de Costos Usados'!$B$13/12)</f>
        <v>3140.4796896000034</v>
      </c>
      <c r="J44" s="68">
        <f t="shared" si="6"/>
        <v>155061.18467400016</v>
      </c>
      <c r="K44" s="5">
        <f t="shared" si="7"/>
        <v>1252.8509399999998</v>
      </c>
      <c r="L44" s="6">
        <f>M43*('Estructura de Costos Usados'!$B$13/12)</f>
        <v>2004.5615039999964</v>
      </c>
      <c r="M44" s="68">
        <f t="shared" si="8"/>
        <v>98975.22425999981</v>
      </c>
    </row>
    <row r="45" spans="1:13" ht="12.75">
      <c r="A45" s="4">
        <f t="shared" si="0"/>
        <v>42</v>
      </c>
      <c r="B45" s="5">
        <f t="shared" si="1"/>
        <v>3121.6869254999997</v>
      </c>
      <c r="C45" s="6">
        <f>D44*('Estructura de Costos Usados'!$B$13/12)</f>
        <v>4932.265342290007</v>
      </c>
      <c r="D45" s="68">
        <f t="shared" si="9"/>
        <v>243491.58018900035</v>
      </c>
      <c r="E45" s="5">
        <f t="shared" si="3"/>
        <v>1002.2807519999998</v>
      </c>
      <c r="F45" s="6">
        <f>G44*('Estructura de Costos Usados'!$B$13/12)</f>
        <v>1583.6035881599946</v>
      </c>
      <c r="G45" s="68">
        <f t="shared" si="4"/>
        <v>78177.89865599973</v>
      </c>
      <c r="H45" s="5">
        <f t="shared" si="5"/>
        <v>1962.7998059999998</v>
      </c>
      <c r="I45" s="6">
        <f>J44*('Estructura de Costos Usados'!$B$13/12)</f>
        <v>3101.2236934800035</v>
      </c>
      <c r="J45" s="68">
        <f t="shared" si="6"/>
        <v>153098.38486800017</v>
      </c>
      <c r="K45" s="5">
        <f t="shared" si="7"/>
        <v>1252.8509399999998</v>
      </c>
      <c r="L45" s="6">
        <f>M44*('Estructura de Costos Usados'!$B$13/12)</f>
        <v>1979.5044851999962</v>
      </c>
      <c r="M45" s="68">
        <f t="shared" si="8"/>
        <v>97722.37331999981</v>
      </c>
    </row>
    <row r="46" spans="1:13" ht="12.75">
      <c r="A46" s="4">
        <f t="shared" si="0"/>
        <v>43</v>
      </c>
      <c r="B46" s="5">
        <f t="shared" si="1"/>
        <v>3121.6869254999997</v>
      </c>
      <c r="C46" s="6">
        <f>D45*('Estructura de Costos Usados'!$B$13/12)</f>
        <v>4869.831603780007</v>
      </c>
      <c r="D46" s="68">
        <f t="shared" si="9"/>
        <v>240369.89326350036</v>
      </c>
      <c r="E46" s="5">
        <f t="shared" si="3"/>
        <v>1002.2807519999998</v>
      </c>
      <c r="F46" s="6">
        <f>G45*('Estructura de Costos Usados'!$B$13/12)</f>
        <v>1563.5579731199946</v>
      </c>
      <c r="G46" s="68">
        <f t="shared" si="4"/>
        <v>77175.61790399972</v>
      </c>
      <c r="H46" s="5">
        <f t="shared" si="5"/>
        <v>1962.7998059999998</v>
      </c>
      <c r="I46" s="6">
        <f>J45*('Estructura de Costos Usados'!$B$13/12)</f>
        <v>3061.9676973600035</v>
      </c>
      <c r="J46" s="68">
        <f t="shared" si="6"/>
        <v>151135.58506200017</v>
      </c>
      <c r="K46" s="5">
        <f t="shared" si="7"/>
        <v>1252.8509399999998</v>
      </c>
      <c r="L46" s="6">
        <f>M45*('Estructura de Costos Usados'!$B$13/12)</f>
        <v>1954.4474663999963</v>
      </c>
      <c r="M46" s="68">
        <f t="shared" si="8"/>
        <v>96469.5223799998</v>
      </c>
    </row>
    <row r="47" spans="1:13" ht="12.75">
      <c r="A47" s="4">
        <f t="shared" si="0"/>
        <v>44</v>
      </c>
      <c r="B47" s="5">
        <f t="shared" si="1"/>
        <v>3121.6869254999997</v>
      </c>
      <c r="C47" s="6">
        <f>D46*('Estructura de Costos Usados'!$B$13/12)</f>
        <v>4807.397865270007</v>
      </c>
      <c r="D47" s="68">
        <f t="shared" si="9"/>
        <v>237248.20633800037</v>
      </c>
      <c r="E47" s="5">
        <f t="shared" si="3"/>
        <v>1002.2807519999998</v>
      </c>
      <c r="F47" s="6">
        <f>G46*('Estructura de Costos Usados'!$B$13/12)</f>
        <v>1543.5123580799946</v>
      </c>
      <c r="G47" s="68">
        <f t="shared" si="4"/>
        <v>76173.33715199972</v>
      </c>
      <c r="H47" s="5">
        <f t="shared" si="5"/>
        <v>1962.7998059999998</v>
      </c>
      <c r="I47" s="6">
        <f>J46*('Estructura de Costos Usados'!$B$13/12)</f>
        <v>3022.7117012400035</v>
      </c>
      <c r="J47" s="68">
        <f t="shared" si="6"/>
        <v>149172.78525600018</v>
      </c>
      <c r="K47" s="5">
        <f t="shared" si="7"/>
        <v>1252.8509399999998</v>
      </c>
      <c r="L47" s="6">
        <f>M46*('Estructura de Costos Usados'!$B$13/12)</f>
        <v>1929.3904475999962</v>
      </c>
      <c r="M47" s="68">
        <f t="shared" si="8"/>
        <v>95216.6714399998</v>
      </c>
    </row>
    <row r="48" spans="1:13" ht="12.75">
      <c r="A48" s="4">
        <f t="shared" si="0"/>
        <v>45</v>
      </c>
      <c r="B48" s="5">
        <f t="shared" si="1"/>
        <v>3121.6869254999997</v>
      </c>
      <c r="C48" s="6">
        <f>D47*('Estructura de Costos Usados'!$B$13/12)</f>
        <v>4744.964126760007</v>
      </c>
      <c r="D48" s="68">
        <f t="shared" si="9"/>
        <v>234126.51941250038</v>
      </c>
      <c r="E48" s="5">
        <f t="shared" si="3"/>
        <v>1002.2807519999998</v>
      </c>
      <c r="F48" s="6">
        <f>G47*('Estructura de Costos Usados'!$B$13/12)</f>
        <v>1523.4667430399943</v>
      </c>
      <c r="G48" s="68">
        <f t="shared" si="4"/>
        <v>75171.05639999971</v>
      </c>
      <c r="H48" s="5">
        <f t="shared" si="5"/>
        <v>1962.7998059999998</v>
      </c>
      <c r="I48" s="6">
        <f>J47*('Estructura de Costos Usados'!$B$13/12)</f>
        <v>2983.4557051200036</v>
      </c>
      <c r="J48" s="68">
        <f t="shared" si="6"/>
        <v>147209.98545000018</v>
      </c>
      <c r="K48" s="5">
        <f t="shared" si="7"/>
        <v>1252.8509399999998</v>
      </c>
      <c r="L48" s="6">
        <f>M47*('Estructura de Costos Usados'!$B$13/12)</f>
        <v>1904.333428799996</v>
      </c>
      <c r="M48" s="68">
        <f t="shared" si="8"/>
        <v>93963.8204999998</v>
      </c>
    </row>
    <row r="49" spans="1:13" ht="12.75">
      <c r="A49" s="4">
        <f t="shared" si="0"/>
        <v>46</v>
      </c>
      <c r="B49" s="5">
        <f t="shared" si="1"/>
        <v>3121.6869254999997</v>
      </c>
      <c r="C49" s="6">
        <f>D48*('Estructura de Costos Usados'!$B$13/12)</f>
        <v>4682.5303882500075</v>
      </c>
      <c r="D49" s="68">
        <f t="shared" si="9"/>
        <v>231004.83248700039</v>
      </c>
      <c r="E49" s="5">
        <f t="shared" si="3"/>
        <v>1002.2807519999998</v>
      </c>
      <c r="F49" s="6">
        <f>G48*('Estructura de Costos Usados'!$B$13/12)</f>
        <v>1503.4211279999943</v>
      </c>
      <c r="G49" s="68">
        <f t="shared" si="4"/>
        <v>74168.7756479997</v>
      </c>
      <c r="H49" s="5">
        <f t="shared" si="5"/>
        <v>1962.7998059999998</v>
      </c>
      <c r="I49" s="6">
        <f>J48*('Estructura de Costos Usados'!$B$13/12)</f>
        <v>2944.1997090000036</v>
      </c>
      <c r="J49" s="68">
        <f t="shared" si="6"/>
        <v>145247.1856440002</v>
      </c>
      <c r="K49" s="5">
        <f t="shared" si="7"/>
        <v>1252.8509399999998</v>
      </c>
      <c r="L49" s="6">
        <f>M48*('Estructura de Costos Usados'!$B$13/12)</f>
        <v>1879.276409999996</v>
      </c>
      <c r="M49" s="68">
        <f t="shared" si="8"/>
        <v>92710.9695599998</v>
      </c>
    </row>
    <row r="50" spans="1:13" ht="12.75">
      <c r="A50" s="4">
        <f t="shared" si="0"/>
        <v>47</v>
      </c>
      <c r="B50" s="5">
        <f t="shared" si="1"/>
        <v>3121.6869254999997</v>
      </c>
      <c r="C50" s="6">
        <f>D49*('Estructura de Costos Usados'!$B$13/12)</f>
        <v>4620.096649740008</v>
      </c>
      <c r="D50" s="68">
        <f t="shared" si="9"/>
        <v>227883.1455615004</v>
      </c>
      <c r="E50" s="5">
        <f t="shared" si="3"/>
        <v>1002.2807519999998</v>
      </c>
      <c r="F50" s="6">
        <f>G49*('Estructura de Costos Usados'!$B$13/12)</f>
        <v>1483.375512959994</v>
      </c>
      <c r="G50" s="68">
        <f t="shared" si="4"/>
        <v>73166.4948959997</v>
      </c>
      <c r="H50" s="5">
        <f t="shared" si="5"/>
        <v>1962.7998059999998</v>
      </c>
      <c r="I50" s="6">
        <f>J49*('Estructura de Costos Usados'!$B$13/12)</f>
        <v>2904.9437128800037</v>
      </c>
      <c r="J50" s="68">
        <f t="shared" si="6"/>
        <v>143284.3858380002</v>
      </c>
      <c r="K50" s="5">
        <f t="shared" si="7"/>
        <v>1252.8509399999998</v>
      </c>
      <c r="L50" s="6">
        <f>M49*('Estructura de Costos Usados'!$B$13/12)</f>
        <v>1854.219391199996</v>
      </c>
      <c r="M50" s="68">
        <f t="shared" si="8"/>
        <v>91458.11861999979</v>
      </c>
    </row>
    <row r="51" spans="1:13" ht="12.75">
      <c r="A51" s="4">
        <f t="shared" si="0"/>
        <v>48</v>
      </c>
      <c r="B51" s="5">
        <f t="shared" si="1"/>
        <v>3121.6869254999997</v>
      </c>
      <c r="C51" s="6">
        <f>D50*('Estructura de Costos Usados'!$B$13/12)</f>
        <v>4557.662911230008</v>
      </c>
      <c r="D51" s="68">
        <f t="shared" si="9"/>
        <v>224761.4586360004</v>
      </c>
      <c r="E51" s="5">
        <f t="shared" si="3"/>
        <v>1002.2807519999998</v>
      </c>
      <c r="F51" s="6">
        <f>G50*('Estructura de Costos Usados'!$B$13/12)</f>
        <v>1463.329897919994</v>
      </c>
      <c r="G51" s="68">
        <f t="shared" si="4"/>
        <v>72164.21414399969</v>
      </c>
      <c r="H51" s="5">
        <f t="shared" si="5"/>
        <v>1962.7998059999998</v>
      </c>
      <c r="I51" s="6">
        <f>J50*('Estructura de Costos Usados'!$B$13/12)</f>
        <v>2865.6877167600037</v>
      </c>
      <c r="J51" s="68">
        <f t="shared" si="6"/>
        <v>141321.5860320002</v>
      </c>
      <c r="K51" s="5">
        <f t="shared" si="7"/>
        <v>1252.8509399999998</v>
      </c>
      <c r="L51" s="6">
        <f>M50*('Estructura de Costos Usados'!$B$13/12)</f>
        <v>1829.1623723999958</v>
      </c>
      <c r="M51" s="68">
        <f t="shared" si="8"/>
        <v>90205.26767999979</v>
      </c>
    </row>
    <row r="52" spans="1:13" ht="12.75">
      <c r="A52" s="4">
        <f t="shared" si="0"/>
        <v>49</v>
      </c>
      <c r="B52" s="5">
        <f t="shared" si="1"/>
        <v>3121.6869254999997</v>
      </c>
      <c r="C52" s="6">
        <f>D51*('Estructura de Costos Usados'!$B$13/12)</f>
        <v>4495.229172720008</v>
      </c>
      <c r="D52" s="68">
        <f t="shared" si="9"/>
        <v>221639.7717105004</v>
      </c>
      <c r="E52" s="5">
        <f t="shared" si="3"/>
        <v>1002.2807519999998</v>
      </c>
      <c r="F52" s="6">
        <f>G51*('Estructura de Costos Usados'!$B$13/12)</f>
        <v>1443.284282879994</v>
      </c>
      <c r="G52" s="68">
        <f t="shared" si="4"/>
        <v>71161.93339199969</v>
      </c>
      <c r="H52" s="5">
        <f t="shared" si="5"/>
        <v>1962.7998059999998</v>
      </c>
      <c r="I52" s="6">
        <f>J51*('Estructura de Costos Usados'!$B$13/12)</f>
        <v>2826.431720640004</v>
      </c>
      <c r="J52" s="68">
        <f t="shared" si="6"/>
        <v>139358.7862260002</v>
      </c>
      <c r="K52" s="5">
        <f t="shared" si="7"/>
        <v>1252.8509399999998</v>
      </c>
      <c r="L52" s="6">
        <f>M51*('Estructura de Costos Usados'!$B$13/12)</f>
        <v>1804.1053535999959</v>
      </c>
      <c r="M52" s="68">
        <f t="shared" si="8"/>
        <v>88952.41673999978</v>
      </c>
    </row>
    <row r="53" spans="1:13" ht="12.75">
      <c r="A53" s="4">
        <f t="shared" si="0"/>
        <v>50</v>
      </c>
      <c r="B53" s="5">
        <f t="shared" si="1"/>
        <v>3121.6869254999997</v>
      </c>
      <c r="C53" s="6">
        <f>D52*('Estructura de Costos Usados'!$B$13/12)</f>
        <v>4432.795434210008</v>
      </c>
      <c r="D53" s="68">
        <f t="shared" si="9"/>
        <v>218518.08478500042</v>
      </c>
      <c r="E53" s="5">
        <f t="shared" si="3"/>
        <v>1002.2807519999998</v>
      </c>
      <c r="F53" s="6">
        <f>G52*('Estructura de Costos Usados'!$B$13/12)</f>
        <v>1423.2386678399937</v>
      </c>
      <c r="G53" s="68">
        <f t="shared" si="4"/>
        <v>70159.65263999968</v>
      </c>
      <c r="H53" s="5">
        <f t="shared" si="5"/>
        <v>1962.7998059999998</v>
      </c>
      <c r="I53" s="6">
        <f>J52*('Estructura de Costos Usados'!$B$13/12)</f>
        <v>2787.175724520004</v>
      </c>
      <c r="J53" s="68">
        <f t="shared" si="6"/>
        <v>137395.9864200002</v>
      </c>
      <c r="K53" s="5">
        <f t="shared" si="7"/>
        <v>1252.8509399999998</v>
      </c>
      <c r="L53" s="6">
        <f>M52*('Estructura de Costos Usados'!$B$13/12)</f>
        <v>1779.0483347999957</v>
      </c>
      <c r="M53" s="68">
        <f t="shared" si="8"/>
        <v>87699.56579999978</v>
      </c>
    </row>
    <row r="54" spans="1:13" ht="12.75">
      <c r="A54" s="4">
        <f t="shared" si="0"/>
        <v>51</v>
      </c>
      <c r="B54" s="5">
        <f t="shared" si="1"/>
        <v>3121.6869254999997</v>
      </c>
      <c r="C54" s="6">
        <f>D53*('Estructura de Costos Usados'!$B$13/12)</f>
        <v>4370.361695700009</v>
      </c>
      <c r="D54" s="68">
        <f t="shared" si="9"/>
        <v>215396.39785950043</v>
      </c>
      <c r="E54" s="5">
        <f t="shared" si="3"/>
        <v>1002.2807519999998</v>
      </c>
      <c r="F54" s="6">
        <f>G53*('Estructura de Costos Usados'!$B$13/12)</f>
        <v>1403.1930527999937</v>
      </c>
      <c r="G54" s="68">
        <f t="shared" si="4"/>
        <v>69157.37188799967</v>
      </c>
      <c r="H54" s="5">
        <f t="shared" si="5"/>
        <v>1962.7998059999998</v>
      </c>
      <c r="I54" s="6">
        <f>J53*('Estructura de Costos Usados'!$B$13/12)</f>
        <v>2747.9197284000043</v>
      </c>
      <c r="J54" s="68">
        <f t="shared" si="6"/>
        <v>135433.1866140002</v>
      </c>
      <c r="K54" s="5">
        <f t="shared" si="7"/>
        <v>1252.8509399999998</v>
      </c>
      <c r="L54" s="6">
        <f>M53*('Estructura de Costos Usados'!$B$13/12)</f>
        <v>1753.9913159999955</v>
      </c>
      <c r="M54" s="68">
        <f t="shared" si="8"/>
        <v>86446.71485999977</v>
      </c>
    </row>
    <row r="55" spans="1:13" ht="12.75">
      <c r="A55" s="4">
        <f t="shared" si="0"/>
        <v>52</v>
      </c>
      <c r="B55" s="5">
        <f t="shared" si="1"/>
        <v>3121.6869254999997</v>
      </c>
      <c r="C55" s="6">
        <f>D54*('Estructura de Costos Usados'!$B$13/12)</f>
        <v>4307.927957190009</v>
      </c>
      <c r="D55" s="68">
        <f t="shared" si="9"/>
        <v>212274.71093400044</v>
      </c>
      <c r="E55" s="5">
        <f t="shared" si="3"/>
        <v>1002.2807519999998</v>
      </c>
      <c r="F55" s="6">
        <f>G54*('Estructura de Costos Usados'!$B$13/12)</f>
        <v>1383.1474377599934</v>
      </c>
      <c r="G55" s="68">
        <f t="shared" si="4"/>
        <v>68155.09113599967</v>
      </c>
      <c r="H55" s="5">
        <f t="shared" si="5"/>
        <v>1962.7998059999998</v>
      </c>
      <c r="I55" s="6">
        <f>J54*('Estructura de Costos Usados'!$B$13/12)</f>
        <v>2708.6637322800043</v>
      </c>
      <c r="J55" s="68">
        <f t="shared" si="6"/>
        <v>133470.3868080002</v>
      </c>
      <c r="K55" s="5">
        <f t="shared" si="7"/>
        <v>1252.8509399999998</v>
      </c>
      <c r="L55" s="6">
        <f>M54*('Estructura de Costos Usados'!$B$13/12)</f>
        <v>1728.9342971999956</v>
      </c>
      <c r="M55" s="68">
        <f t="shared" si="8"/>
        <v>85193.86391999977</v>
      </c>
    </row>
    <row r="56" spans="1:13" ht="12.75">
      <c r="A56" s="4">
        <f t="shared" si="0"/>
        <v>53</v>
      </c>
      <c r="B56" s="5">
        <f t="shared" si="1"/>
        <v>3121.6869254999997</v>
      </c>
      <c r="C56" s="6">
        <f>D55*('Estructura de Costos Usados'!$B$13/12)</f>
        <v>4245.494218680009</v>
      </c>
      <c r="D56" s="68">
        <f t="shared" si="9"/>
        <v>209153.02400850045</v>
      </c>
      <c r="E56" s="5">
        <f t="shared" si="3"/>
        <v>1002.2807519999998</v>
      </c>
      <c r="F56" s="6">
        <f>G55*('Estructura de Costos Usados'!$B$13/12)</f>
        <v>1363.1018227199934</v>
      </c>
      <c r="G56" s="68">
        <f t="shared" si="4"/>
        <v>67152.81038399966</v>
      </c>
      <c r="H56" s="5">
        <f t="shared" si="5"/>
        <v>1962.7998059999998</v>
      </c>
      <c r="I56" s="6">
        <f>J55*('Estructura de Costos Usados'!$B$13/12)</f>
        <v>2669.4077361600043</v>
      </c>
      <c r="J56" s="68">
        <f t="shared" si="6"/>
        <v>131507.58700200022</v>
      </c>
      <c r="K56" s="5">
        <f t="shared" si="7"/>
        <v>1252.8509399999998</v>
      </c>
      <c r="L56" s="6">
        <f>M55*('Estructura de Costos Usados'!$B$13/12)</f>
        <v>1703.8772783999955</v>
      </c>
      <c r="M56" s="68">
        <f t="shared" si="8"/>
        <v>83941.01297999977</v>
      </c>
    </row>
    <row r="57" spans="1:13" ht="12.75">
      <c r="A57" s="4">
        <f t="shared" si="0"/>
        <v>54</v>
      </c>
      <c r="B57" s="5">
        <f t="shared" si="1"/>
        <v>3121.6869254999997</v>
      </c>
      <c r="C57" s="6">
        <f>D56*('Estructura de Costos Usados'!$B$13/12)</f>
        <v>4183.060480170009</v>
      </c>
      <c r="D57" s="68">
        <f t="shared" si="9"/>
        <v>206031.33708300046</v>
      </c>
      <c r="E57" s="5">
        <f t="shared" si="3"/>
        <v>1002.2807519999998</v>
      </c>
      <c r="F57" s="6">
        <f>G56*('Estructura de Costos Usados'!$B$13/12)</f>
        <v>1343.0562076799933</v>
      </c>
      <c r="G57" s="68">
        <f t="shared" si="4"/>
        <v>66150.52963199966</v>
      </c>
      <c r="H57" s="5">
        <f t="shared" si="5"/>
        <v>1962.7998059999998</v>
      </c>
      <c r="I57" s="6">
        <f>J56*('Estructura de Costos Usados'!$B$13/12)</f>
        <v>2630.1517400400044</v>
      </c>
      <c r="J57" s="68">
        <f t="shared" si="6"/>
        <v>129544.78719600022</v>
      </c>
      <c r="K57" s="5">
        <f t="shared" si="7"/>
        <v>1252.8509399999998</v>
      </c>
      <c r="L57" s="6">
        <f>M56*('Estructura de Costos Usados'!$B$13/12)</f>
        <v>1678.8202595999953</v>
      </c>
      <c r="M57" s="68">
        <f t="shared" si="8"/>
        <v>82688.16203999976</v>
      </c>
    </row>
    <row r="58" spans="1:13" ht="12.75">
      <c r="A58" s="4">
        <f t="shared" si="0"/>
        <v>55</v>
      </c>
      <c r="B58" s="5">
        <f t="shared" si="1"/>
        <v>3121.6869254999997</v>
      </c>
      <c r="C58" s="6">
        <f>D57*('Estructura de Costos Usados'!$B$13/12)</f>
        <v>4120.626741660009</v>
      </c>
      <c r="D58" s="68">
        <f t="shared" si="9"/>
        <v>202909.65015750047</v>
      </c>
      <c r="E58" s="5">
        <f t="shared" si="3"/>
        <v>1002.2807519999998</v>
      </c>
      <c r="F58" s="6">
        <f>G57*('Estructura de Costos Usados'!$B$13/12)</f>
        <v>1323.010592639993</v>
      </c>
      <c r="G58" s="68">
        <f t="shared" si="4"/>
        <v>65148.24887999966</v>
      </c>
      <c r="H58" s="5">
        <f t="shared" si="5"/>
        <v>1962.7998059999998</v>
      </c>
      <c r="I58" s="6">
        <f>J57*('Estructura de Costos Usados'!$B$13/12)</f>
        <v>2590.8957439200044</v>
      </c>
      <c r="J58" s="68">
        <f t="shared" si="6"/>
        <v>127581.98739000023</v>
      </c>
      <c r="K58" s="5">
        <f t="shared" si="7"/>
        <v>1252.8509399999998</v>
      </c>
      <c r="L58" s="6">
        <f>M57*('Estructura de Costos Usados'!$B$13/12)</f>
        <v>1653.7632407999954</v>
      </c>
      <c r="M58" s="68">
        <f t="shared" si="8"/>
        <v>81435.31109999976</v>
      </c>
    </row>
    <row r="59" spans="1:13" ht="12.75">
      <c r="A59" s="4">
        <f t="shared" si="0"/>
        <v>56</v>
      </c>
      <c r="B59" s="5">
        <f t="shared" si="1"/>
        <v>3121.6869254999997</v>
      </c>
      <c r="C59" s="6">
        <f>D58*('Estructura de Costos Usados'!$B$13/12)</f>
        <v>4058.193003150009</v>
      </c>
      <c r="D59" s="68">
        <f t="shared" si="9"/>
        <v>199787.96323200047</v>
      </c>
      <c r="E59" s="5">
        <f t="shared" si="3"/>
        <v>1002.2807519999998</v>
      </c>
      <c r="F59" s="6">
        <f>G58*('Estructura de Costos Usados'!$B$13/12)</f>
        <v>1302.964977599993</v>
      </c>
      <c r="G59" s="68">
        <f t="shared" si="4"/>
        <v>64145.96812799966</v>
      </c>
      <c r="H59" s="5">
        <f t="shared" si="5"/>
        <v>1962.7998059999998</v>
      </c>
      <c r="I59" s="6">
        <f>J58*('Estructura de Costos Usados'!$B$13/12)</f>
        <v>2551.6397478000044</v>
      </c>
      <c r="J59" s="68">
        <f t="shared" si="6"/>
        <v>125619.18758400023</v>
      </c>
      <c r="K59" s="5">
        <f t="shared" si="7"/>
        <v>1252.8509399999998</v>
      </c>
      <c r="L59" s="6">
        <f>M58*('Estructura de Costos Usados'!$B$13/12)</f>
        <v>1628.7062219999953</v>
      </c>
      <c r="M59" s="68">
        <f t="shared" si="8"/>
        <v>80182.46015999975</v>
      </c>
    </row>
    <row r="60" spans="1:13" ht="12.75">
      <c r="A60" s="4">
        <f t="shared" si="0"/>
        <v>57</v>
      </c>
      <c r="B60" s="5">
        <f t="shared" si="1"/>
        <v>3121.6869254999997</v>
      </c>
      <c r="C60" s="6">
        <f>D59*('Estructura de Costos Usados'!$B$13/12)</f>
        <v>3995.7592646400094</v>
      </c>
      <c r="D60" s="68">
        <f t="shared" si="9"/>
        <v>196666.27630650048</v>
      </c>
      <c r="E60" s="5">
        <f t="shared" si="3"/>
        <v>1002.2807519999998</v>
      </c>
      <c r="F60" s="6">
        <f>G59*('Estructura de Costos Usados'!$B$13/12)</f>
        <v>1282.9193625599933</v>
      </c>
      <c r="G60" s="68">
        <f t="shared" si="4"/>
        <v>63143.68737599966</v>
      </c>
      <c r="H60" s="5">
        <f t="shared" si="5"/>
        <v>1962.7998059999998</v>
      </c>
      <c r="I60" s="6">
        <f>J59*('Estructura de Costos Usados'!$B$13/12)</f>
        <v>2512.3837516800045</v>
      </c>
      <c r="J60" s="68">
        <f t="shared" si="6"/>
        <v>123656.38777800024</v>
      </c>
      <c r="K60" s="5">
        <f t="shared" si="7"/>
        <v>1252.8509399999998</v>
      </c>
      <c r="L60" s="6">
        <f>M59*('Estructura de Costos Usados'!$B$13/12)</f>
        <v>1603.649203199995</v>
      </c>
      <c r="M60" s="68">
        <f t="shared" si="8"/>
        <v>78929.60921999975</v>
      </c>
    </row>
    <row r="61" spans="1:13" ht="12.75">
      <c r="A61" s="4">
        <f t="shared" si="0"/>
        <v>58</v>
      </c>
      <c r="B61" s="5">
        <f t="shared" si="1"/>
        <v>3121.6869254999997</v>
      </c>
      <c r="C61" s="6">
        <f>D60*('Estructura de Costos Usados'!$B$13/12)</f>
        <v>3933.3255261300096</v>
      </c>
      <c r="D61" s="68">
        <f t="shared" si="9"/>
        <v>193544.5893810005</v>
      </c>
      <c r="E61" s="5">
        <f t="shared" si="3"/>
        <v>1002.2807519999998</v>
      </c>
      <c r="F61" s="6">
        <f>G60*('Estructura de Costos Usados'!$B$13/12)</f>
        <v>1262.8737475199932</v>
      </c>
      <c r="G61" s="68">
        <f t="shared" si="4"/>
        <v>62141.40662399966</v>
      </c>
      <c r="H61" s="5">
        <f t="shared" si="5"/>
        <v>1962.7998059999998</v>
      </c>
      <c r="I61" s="6">
        <f>J60*('Estructura de Costos Usados'!$B$13/12)</f>
        <v>2473.127755560005</v>
      </c>
      <c r="J61" s="68">
        <f t="shared" si="6"/>
        <v>121693.58797200024</v>
      </c>
      <c r="K61" s="5">
        <f t="shared" si="7"/>
        <v>1252.8509399999998</v>
      </c>
      <c r="L61" s="6">
        <f>M60*('Estructura de Costos Usados'!$B$13/12)</f>
        <v>1578.592184399995</v>
      </c>
      <c r="M61" s="68">
        <f t="shared" si="8"/>
        <v>77676.75827999975</v>
      </c>
    </row>
    <row r="62" spans="1:13" ht="12.75">
      <c r="A62" s="4">
        <f t="shared" si="0"/>
        <v>59</v>
      </c>
      <c r="B62" s="5">
        <f t="shared" si="1"/>
        <v>3121.6869254999997</v>
      </c>
      <c r="C62" s="6">
        <f>D61*('Estructura de Costos Usados'!$B$13/12)</f>
        <v>3870.89178762001</v>
      </c>
      <c r="D62" s="68">
        <f t="shared" si="9"/>
        <v>190422.9024555005</v>
      </c>
      <c r="E62" s="5">
        <f t="shared" si="3"/>
        <v>1002.2807519999998</v>
      </c>
      <c r="F62" s="6">
        <f>G61*('Estructura de Costos Usados'!$B$13/12)</f>
        <v>1242.8281324799932</v>
      </c>
      <c r="G62" s="68">
        <f t="shared" si="4"/>
        <v>61139.12587199966</v>
      </c>
      <c r="H62" s="5">
        <f t="shared" si="5"/>
        <v>1962.7998059999998</v>
      </c>
      <c r="I62" s="6">
        <f>J61*('Estructura de Costos Usados'!$B$13/12)</f>
        <v>2433.871759440005</v>
      </c>
      <c r="J62" s="68">
        <f t="shared" si="6"/>
        <v>119730.78816600025</v>
      </c>
      <c r="K62" s="5">
        <f t="shared" si="7"/>
        <v>1252.8509399999998</v>
      </c>
      <c r="L62" s="6">
        <f>M61*('Estructura de Costos Usados'!$B$13/12)</f>
        <v>1553.535165599995</v>
      </c>
      <c r="M62" s="68">
        <f t="shared" si="8"/>
        <v>76423.90733999974</v>
      </c>
    </row>
    <row r="63" spans="1:13" ht="12.75">
      <c r="A63" s="4">
        <f t="shared" si="0"/>
        <v>60</v>
      </c>
      <c r="B63" s="5">
        <f t="shared" si="1"/>
        <v>3121.6869254999997</v>
      </c>
      <c r="C63" s="6">
        <f>D62*('Estructura de Costos Usados'!$B$13/12)</f>
        <v>3808.45804911001</v>
      </c>
      <c r="D63" s="68">
        <f t="shared" si="9"/>
        <v>187301.2155300005</v>
      </c>
      <c r="E63" s="5">
        <f t="shared" si="3"/>
        <v>1002.2807519999998</v>
      </c>
      <c r="F63" s="6">
        <f>G62*('Estructura de Costos Usados'!$B$13/12)</f>
        <v>1222.7825174399932</v>
      </c>
      <c r="G63" s="68">
        <f t="shared" si="4"/>
        <v>60136.84511999966</v>
      </c>
      <c r="H63" s="5">
        <f t="shared" si="5"/>
        <v>1962.7998059999998</v>
      </c>
      <c r="I63" s="6">
        <f>J62*('Estructura de Costos Usados'!$B$13/12)</f>
        <v>2394.615763320005</v>
      </c>
      <c r="J63" s="68">
        <f t="shared" si="6"/>
        <v>117767.98836000025</v>
      </c>
      <c r="K63" s="5">
        <f t="shared" si="7"/>
        <v>1252.8509399999998</v>
      </c>
      <c r="L63" s="6">
        <f>M62*('Estructura de Costos Usados'!$B$13/12)</f>
        <v>1528.4781467999949</v>
      </c>
      <c r="M63" s="68">
        <f t="shared" si="8"/>
        <v>75171.05639999974</v>
      </c>
    </row>
    <row r="64" spans="1:13" ht="12.75">
      <c r="A64" s="4">
        <f t="shared" si="0"/>
        <v>61</v>
      </c>
      <c r="B64" s="5">
        <f t="shared" si="1"/>
        <v>3121.6869254999997</v>
      </c>
      <c r="C64" s="6">
        <f>D63*('Estructura de Costos Usados'!$B$13/12)</f>
        <v>3746.0243106000103</v>
      </c>
      <c r="D64" s="68">
        <f t="shared" si="9"/>
        <v>184179.52860450052</v>
      </c>
      <c r="E64" s="5">
        <f t="shared" si="3"/>
        <v>1002.2807519999998</v>
      </c>
      <c r="F64" s="6">
        <f>G63*('Estructura de Costos Usados'!$B$13/12)</f>
        <v>1202.7369023999934</v>
      </c>
      <c r="G64" s="68">
        <f t="shared" si="4"/>
        <v>59134.564367999665</v>
      </c>
      <c r="H64" s="5">
        <f t="shared" si="5"/>
        <v>1962.7998059999998</v>
      </c>
      <c r="I64" s="6">
        <f>J63*('Estructura de Costos Usados'!$B$13/12)</f>
        <v>2355.359767200005</v>
      </c>
      <c r="J64" s="68">
        <f t="shared" si="6"/>
        <v>115805.18855400025</v>
      </c>
      <c r="K64" s="5">
        <f t="shared" si="7"/>
        <v>1252.8509399999998</v>
      </c>
      <c r="L64" s="6">
        <f>M63*('Estructura de Costos Usados'!$B$13/12)</f>
        <v>1503.4211279999947</v>
      </c>
      <c r="M64" s="68">
        <f t="shared" si="8"/>
        <v>73918.20545999974</v>
      </c>
    </row>
    <row r="65" spans="1:13" ht="12.75">
      <c r="A65" s="4">
        <f t="shared" si="0"/>
        <v>62</v>
      </c>
      <c r="B65" s="5">
        <f t="shared" si="1"/>
        <v>3121.6869254999997</v>
      </c>
      <c r="C65" s="6">
        <f>D64*('Estructura de Costos Usados'!$B$13/12)</f>
        <v>3683.5905720900105</v>
      </c>
      <c r="D65" s="68">
        <f t="shared" si="9"/>
        <v>181057.84167900053</v>
      </c>
      <c r="E65" s="5">
        <f t="shared" si="3"/>
        <v>1002.2807519999998</v>
      </c>
      <c r="F65" s="6">
        <f>G64*('Estructura de Costos Usados'!$B$13/12)</f>
        <v>1182.6912873599933</v>
      </c>
      <c r="G65" s="68">
        <f t="shared" si="4"/>
        <v>58132.283615999666</v>
      </c>
      <c r="H65" s="5">
        <f t="shared" si="5"/>
        <v>1962.7998059999998</v>
      </c>
      <c r="I65" s="6">
        <f>J64*('Estructura de Costos Usados'!$B$13/12)</f>
        <v>2316.103771080005</v>
      </c>
      <c r="J65" s="68">
        <f t="shared" si="6"/>
        <v>113842.38874800026</v>
      </c>
      <c r="K65" s="5">
        <f t="shared" si="7"/>
        <v>1252.8509399999998</v>
      </c>
      <c r="L65" s="6">
        <f>M64*('Estructura de Costos Usados'!$B$13/12)</f>
        <v>1478.3641091999948</v>
      </c>
      <c r="M65" s="68">
        <f t="shared" si="8"/>
        <v>72665.35451999973</v>
      </c>
    </row>
    <row r="66" spans="1:13" ht="12.75">
      <c r="A66" s="4">
        <f t="shared" si="0"/>
        <v>63</v>
      </c>
      <c r="B66" s="5">
        <f t="shared" si="1"/>
        <v>3121.6869254999997</v>
      </c>
      <c r="C66" s="6">
        <f>D65*('Estructura de Costos Usados'!$B$13/12)</f>
        <v>3621.1568335800107</v>
      </c>
      <c r="D66" s="68">
        <f t="shared" si="9"/>
        <v>177936.15475350054</v>
      </c>
      <c r="E66" s="5">
        <f t="shared" si="3"/>
        <v>1002.2807519999998</v>
      </c>
      <c r="F66" s="6">
        <f>G65*('Estructura de Costos Usados'!$B$13/12)</f>
        <v>1162.6456723199933</v>
      </c>
      <c r="G66" s="68">
        <f t="shared" si="4"/>
        <v>57130.00286399967</v>
      </c>
      <c r="H66" s="5">
        <f t="shared" si="5"/>
        <v>1962.7998059999998</v>
      </c>
      <c r="I66" s="6">
        <f>J65*('Estructura de Costos Usados'!$B$13/12)</f>
        <v>2276.847774960005</v>
      </c>
      <c r="J66" s="68">
        <f t="shared" si="6"/>
        <v>111879.58894200026</v>
      </c>
      <c r="K66" s="5">
        <f t="shared" si="7"/>
        <v>1252.8509399999998</v>
      </c>
      <c r="L66" s="6">
        <f>M65*('Estructura de Costos Usados'!$B$13/12)</f>
        <v>1453.3070903999946</v>
      </c>
      <c r="M66" s="68">
        <f t="shared" si="8"/>
        <v>71412.50357999973</v>
      </c>
    </row>
    <row r="67" spans="1:13" ht="12.75">
      <c r="A67" s="4">
        <f t="shared" si="0"/>
        <v>64</v>
      </c>
      <c r="B67" s="5">
        <f t="shared" si="1"/>
        <v>3121.6869254999997</v>
      </c>
      <c r="C67" s="6">
        <f>D66*('Estructura de Costos Usados'!$B$13/12)</f>
        <v>3558.723095070011</v>
      </c>
      <c r="D67" s="68">
        <f t="shared" si="9"/>
        <v>174814.46782800055</v>
      </c>
      <c r="E67" s="5">
        <f t="shared" si="3"/>
        <v>1002.2807519999998</v>
      </c>
      <c r="F67" s="6">
        <f>G66*('Estructura de Costos Usados'!$B$13/12)</f>
        <v>1142.6000572799933</v>
      </c>
      <c r="G67" s="68">
        <f t="shared" si="4"/>
        <v>56127.72211199967</v>
      </c>
      <c r="H67" s="5">
        <f t="shared" si="5"/>
        <v>1962.7998059999998</v>
      </c>
      <c r="I67" s="6">
        <f>J66*('Estructura de Costos Usados'!$B$13/12)</f>
        <v>2237.591778840005</v>
      </c>
      <c r="J67" s="68">
        <f t="shared" si="6"/>
        <v>109916.78913600027</v>
      </c>
      <c r="K67" s="5">
        <f t="shared" si="7"/>
        <v>1252.8509399999998</v>
      </c>
      <c r="L67" s="6">
        <f>M66*('Estructura de Costos Usados'!$B$13/12)</f>
        <v>1428.2500715999945</v>
      </c>
      <c r="M67" s="68">
        <f t="shared" si="8"/>
        <v>70159.65263999972</v>
      </c>
    </row>
    <row r="68" spans="1:13" ht="12.75">
      <c r="A68" s="4">
        <f t="shared" si="0"/>
        <v>65</v>
      </c>
      <c r="B68" s="5">
        <f t="shared" si="1"/>
        <v>3121.6869254999997</v>
      </c>
      <c r="C68" s="6">
        <f>D67*('Estructura de Costos Usados'!$B$13/12)</f>
        <v>3496.289356560011</v>
      </c>
      <c r="D68" s="68">
        <f t="shared" si="9"/>
        <v>171692.78090250056</v>
      </c>
      <c r="E68" s="5">
        <f t="shared" si="3"/>
        <v>1002.2807519999998</v>
      </c>
      <c r="F68" s="6">
        <f>G67*('Estructura de Costos Usados'!$B$13/12)</f>
        <v>1122.5544422399935</v>
      </c>
      <c r="G68" s="68">
        <f t="shared" si="4"/>
        <v>55125.44135999967</v>
      </c>
      <c r="H68" s="5">
        <f t="shared" si="5"/>
        <v>1962.7998059999998</v>
      </c>
      <c r="I68" s="6">
        <f>J67*('Estructura de Costos Usados'!$B$13/12)</f>
        <v>2198.335782720005</v>
      </c>
      <c r="J68" s="68">
        <f t="shared" si="6"/>
        <v>107953.98933000027</v>
      </c>
      <c r="K68" s="5">
        <f t="shared" si="7"/>
        <v>1252.8509399999998</v>
      </c>
      <c r="L68" s="6">
        <f>M67*('Estructura de Costos Usados'!$B$13/12)</f>
        <v>1403.1930527999946</v>
      </c>
      <c r="M68" s="68">
        <f t="shared" si="8"/>
        <v>68906.80169999972</v>
      </c>
    </row>
    <row r="69" spans="1:13" ht="12.75">
      <c r="A69" s="4">
        <f t="shared" si="0"/>
        <v>66</v>
      </c>
      <c r="B69" s="5">
        <f t="shared" si="1"/>
        <v>3121.6869254999997</v>
      </c>
      <c r="C69" s="6">
        <f>D68*('Estructura de Costos Usados'!$B$13/12)</f>
        <v>3433.8556180500113</v>
      </c>
      <c r="D69" s="68">
        <f t="shared" si="9"/>
        <v>168571.09397700056</v>
      </c>
      <c r="E69" s="5">
        <f t="shared" si="3"/>
        <v>1002.2807519999998</v>
      </c>
      <c r="F69" s="6">
        <f>G68*('Estructura de Costos Usados'!$B$13/12)</f>
        <v>1102.5088271999934</v>
      </c>
      <c r="G69" s="68">
        <f t="shared" si="4"/>
        <v>54123.16060799967</v>
      </c>
      <c r="H69" s="5">
        <f t="shared" si="5"/>
        <v>1962.7998059999998</v>
      </c>
      <c r="I69" s="6">
        <f>J68*('Estructura de Costos Usados'!$B$13/12)</f>
        <v>2159.0797866000057</v>
      </c>
      <c r="J69" s="68">
        <f t="shared" si="6"/>
        <v>105991.18952400028</v>
      </c>
      <c r="K69" s="5">
        <f t="shared" si="7"/>
        <v>1252.8509399999998</v>
      </c>
      <c r="L69" s="6">
        <f>M68*('Estructura de Costos Usados'!$B$13/12)</f>
        <v>1378.1360339999944</v>
      </c>
      <c r="M69" s="68">
        <f t="shared" si="8"/>
        <v>67653.95075999972</v>
      </c>
    </row>
    <row r="70" spans="1:13" ht="12.75">
      <c r="A70" s="4">
        <f>A69+1</f>
        <v>67</v>
      </c>
      <c r="B70" s="5">
        <f>B69</f>
        <v>3121.6869254999997</v>
      </c>
      <c r="C70" s="6">
        <f>D69*('Estructura de Costos Usados'!$B$13/12)</f>
        <v>3371.4218795400116</v>
      </c>
      <c r="D70" s="68">
        <f t="shared" si="9"/>
        <v>165449.40705150057</v>
      </c>
      <c r="E70" s="5">
        <f aca="true" t="shared" si="10" ref="E70:E87">E69</f>
        <v>1002.2807519999998</v>
      </c>
      <c r="F70" s="6">
        <f>G69*('Estructura de Costos Usados'!$B$13/12)</f>
        <v>1082.4632121599934</v>
      </c>
      <c r="G70" s="68">
        <f aca="true" t="shared" si="11" ref="G70:G87">G69-E70</f>
        <v>53120.87985599967</v>
      </c>
      <c r="H70" s="5">
        <f aca="true" t="shared" si="12" ref="H70:H87">H69</f>
        <v>1962.7998059999998</v>
      </c>
      <c r="I70" s="6">
        <f>J69*('Estructura de Costos Usados'!$B$13/12)</f>
        <v>2119.8237904800058</v>
      </c>
      <c r="J70" s="68">
        <f aca="true" t="shared" si="13" ref="J70:J87">J69-H70</f>
        <v>104028.38971800028</v>
      </c>
      <c r="K70" s="5">
        <f aca="true" t="shared" si="14" ref="K70:K87">K69</f>
        <v>1252.8509399999998</v>
      </c>
      <c r="L70" s="6">
        <f>M69*('Estructura de Costos Usados'!$B$13/12)</f>
        <v>1353.0790151999943</v>
      </c>
      <c r="M70" s="68">
        <f aca="true" t="shared" si="15" ref="M70:M87">M69-K70</f>
        <v>66401.09981999971</v>
      </c>
    </row>
    <row r="71" spans="1:13" ht="12.75">
      <c r="A71" s="4">
        <f>A70+1</f>
        <v>68</v>
      </c>
      <c r="B71" s="5">
        <f>B70</f>
        <v>3121.6869254999997</v>
      </c>
      <c r="C71" s="6">
        <f>D70*('Estructura de Costos Usados'!$B$13/12)</f>
        <v>3308.9881410300113</v>
      </c>
      <c r="D71" s="68">
        <f t="shared" si="9"/>
        <v>162327.72012600058</v>
      </c>
      <c r="E71" s="5">
        <f t="shared" si="10"/>
        <v>1002.2807519999998</v>
      </c>
      <c r="F71" s="6">
        <f>G70*('Estructura de Costos Usados'!$B$13/12)</f>
        <v>1062.4175971199934</v>
      </c>
      <c r="G71" s="68">
        <f t="shared" si="11"/>
        <v>52118.59910399967</v>
      </c>
      <c r="H71" s="5">
        <f t="shared" si="12"/>
        <v>1962.7998059999998</v>
      </c>
      <c r="I71" s="6">
        <f>J70*('Estructura de Costos Usados'!$B$13/12)</f>
        <v>2080.567794360006</v>
      </c>
      <c r="J71" s="68">
        <f t="shared" si="13"/>
        <v>102065.58991200029</v>
      </c>
      <c r="K71" s="5">
        <f t="shared" si="14"/>
        <v>1252.8509399999998</v>
      </c>
      <c r="L71" s="6">
        <f>M70*('Estructura de Costos Usados'!$B$13/12)</f>
        <v>1328.0219963999944</v>
      </c>
      <c r="M71" s="68">
        <f t="shared" si="15"/>
        <v>65148.248879999715</v>
      </c>
    </row>
    <row r="72" spans="1:13" ht="12.75">
      <c r="A72" s="4">
        <f>A71+1</f>
        <v>69</v>
      </c>
      <c r="B72" s="5">
        <f>B71</f>
        <v>3121.6869254999997</v>
      </c>
      <c r="C72" s="6">
        <f>D71*('Estructura de Costos Usados'!$B$13/12)</f>
        <v>3246.5544025200115</v>
      </c>
      <c r="D72" s="68">
        <f t="shared" si="9"/>
        <v>159206.0332005006</v>
      </c>
      <c r="E72" s="5">
        <f t="shared" si="10"/>
        <v>1002.2807519999998</v>
      </c>
      <c r="F72" s="6">
        <f>G71*('Estructura de Costos Usados'!$B$13/12)</f>
        <v>1042.3719820799936</v>
      </c>
      <c r="G72" s="68">
        <f t="shared" si="11"/>
        <v>51116.318351999675</v>
      </c>
      <c r="H72" s="5">
        <f t="shared" si="12"/>
        <v>1962.7998059999998</v>
      </c>
      <c r="I72" s="6">
        <f>J71*('Estructura de Costos Usados'!$B$13/12)</f>
        <v>2041.3117982400058</v>
      </c>
      <c r="J72" s="68">
        <f t="shared" si="13"/>
        <v>100102.79010600029</v>
      </c>
      <c r="K72" s="5">
        <f t="shared" si="14"/>
        <v>1252.8509399999998</v>
      </c>
      <c r="L72" s="6">
        <f>M71*('Estructura de Costos Usados'!$B$13/12)</f>
        <v>1302.9649775999944</v>
      </c>
      <c r="M72" s="68">
        <f t="shared" si="15"/>
        <v>63895.39793999972</v>
      </c>
    </row>
    <row r="73" spans="1:13" ht="12.75">
      <c r="A73" s="4">
        <f aca="true" t="shared" si="16" ref="A73:A86">A72+1</f>
        <v>70</v>
      </c>
      <c r="B73" s="5">
        <f aca="true" t="shared" si="17" ref="B73:B87">B72</f>
        <v>3121.6869254999997</v>
      </c>
      <c r="C73" s="6">
        <f>D72*('Estructura de Costos Usados'!$B$13/12)</f>
        <v>3184.1206640100118</v>
      </c>
      <c r="D73" s="68">
        <f aca="true" t="shared" si="18" ref="D73:D86">D72-B73</f>
        <v>156084.3462750006</v>
      </c>
      <c r="E73" s="5">
        <f t="shared" si="10"/>
        <v>1002.2807519999998</v>
      </c>
      <c r="F73" s="6">
        <f>G72*('Estructura de Costos Usados'!$B$13/12)</f>
        <v>1022.3263670399936</v>
      </c>
      <c r="G73" s="68">
        <f t="shared" si="11"/>
        <v>50114.037599999676</v>
      </c>
      <c r="H73" s="5">
        <f t="shared" si="12"/>
        <v>1962.7998059999998</v>
      </c>
      <c r="I73" s="6">
        <f>J72*('Estructura de Costos Usados'!$B$13/12)</f>
        <v>2002.0558021200059</v>
      </c>
      <c r="J73" s="68">
        <f t="shared" si="13"/>
        <v>98139.9903000003</v>
      </c>
      <c r="K73" s="5">
        <f t="shared" si="14"/>
        <v>1252.8509399999998</v>
      </c>
      <c r="L73" s="6">
        <f>M72*('Estructura de Costos Usados'!$B$13/12)</f>
        <v>1277.9079587999945</v>
      </c>
      <c r="M73" s="68">
        <f t="shared" si="15"/>
        <v>62642.54699999972</v>
      </c>
    </row>
    <row r="74" spans="1:13" ht="12.75">
      <c r="A74" s="4">
        <f t="shared" si="16"/>
        <v>71</v>
      </c>
      <c r="B74" s="5">
        <f t="shared" si="17"/>
        <v>3121.6869254999997</v>
      </c>
      <c r="C74" s="6">
        <f>D73*('Estructura de Costos Usados'!$B$13/12)</f>
        <v>3121.686925500012</v>
      </c>
      <c r="D74" s="68">
        <f t="shared" si="18"/>
        <v>152962.6593495006</v>
      </c>
      <c r="E74" s="5">
        <f t="shared" si="10"/>
        <v>1002.2807519999998</v>
      </c>
      <c r="F74" s="6">
        <f>G73*('Estructura de Costos Usados'!$B$13/12)</f>
        <v>1002.2807519999935</v>
      </c>
      <c r="G74" s="68">
        <f t="shared" si="11"/>
        <v>49111.75684799968</v>
      </c>
      <c r="H74" s="5">
        <f t="shared" si="12"/>
        <v>1962.7998059999998</v>
      </c>
      <c r="I74" s="6">
        <f>J73*('Estructura de Costos Usados'!$B$13/12)</f>
        <v>1962.799806000006</v>
      </c>
      <c r="J74" s="68">
        <f t="shared" si="13"/>
        <v>96177.1904940003</v>
      </c>
      <c r="K74" s="5">
        <f t="shared" si="14"/>
        <v>1252.8509399999998</v>
      </c>
      <c r="L74" s="6">
        <f>M73*('Estructura de Costos Usados'!$B$13/12)</f>
        <v>1252.8509399999946</v>
      </c>
      <c r="M74" s="68">
        <f t="shared" si="15"/>
        <v>61389.696059999726</v>
      </c>
    </row>
    <row r="75" spans="1:13" ht="12.75">
      <c r="A75" s="4">
        <f t="shared" si="16"/>
        <v>72</v>
      </c>
      <c r="B75" s="5">
        <f t="shared" si="17"/>
        <v>3121.6869254999997</v>
      </c>
      <c r="C75" s="6">
        <f>D74*('Estructura de Costos Usados'!$B$13/12)</f>
        <v>3059.253186990012</v>
      </c>
      <c r="D75" s="68">
        <f t="shared" si="18"/>
        <v>149840.97242400062</v>
      </c>
      <c r="E75" s="5">
        <f t="shared" si="10"/>
        <v>1002.2807519999998</v>
      </c>
      <c r="F75" s="6">
        <f>G74*('Estructura de Costos Usados'!$B$13/12)</f>
        <v>982.2351369599936</v>
      </c>
      <c r="G75" s="68">
        <f t="shared" si="11"/>
        <v>48109.47609599968</v>
      </c>
      <c r="H75" s="5">
        <f t="shared" si="12"/>
        <v>1962.7998059999998</v>
      </c>
      <c r="I75" s="6">
        <f>J74*('Estructura de Costos Usados'!$B$13/12)</f>
        <v>1923.543809880006</v>
      </c>
      <c r="J75" s="68">
        <f t="shared" si="13"/>
        <v>94214.3906880003</v>
      </c>
      <c r="K75" s="5">
        <f t="shared" si="14"/>
        <v>1252.8509399999998</v>
      </c>
      <c r="L75" s="6">
        <f>M74*('Estructura de Costos Usados'!$B$13/12)</f>
        <v>1227.7939211999944</v>
      </c>
      <c r="M75" s="68">
        <f t="shared" si="15"/>
        <v>60136.84511999973</v>
      </c>
    </row>
    <row r="76" spans="1:13" ht="12.75">
      <c r="A76" s="4">
        <f t="shared" si="16"/>
        <v>73</v>
      </c>
      <c r="B76" s="5">
        <f t="shared" si="17"/>
        <v>3121.6869254999997</v>
      </c>
      <c r="C76" s="6">
        <f>D75*('Estructura de Costos Usados'!$B$13/12)</f>
        <v>2996.8194484800124</v>
      </c>
      <c r="D76" s="68">
        <f t="shared" si="18"/>
        <v>146719.28549850063</v>
      </c>
      <c r="E76" s="5">
        <f t="shared" si="10"/>
        <v>1002.2807519999998</v>
      </c>
      <c r="F76" s="6">
        <f>G75*('Estructura de Costos Usados'!$B$13/12)</f>
        <v>962.1895219199936</v>
      </c>
      <c r="G76" s="68">
        <f t="shared" si="11"/>
        <v>47107.19534399968</v>
      </c>
      <c r="H76" s="5">
        <f t="shared" si="12"/>
        <v>1962.7998059999998</v>
      </c>
      <c r="I76" s="6">
        <f>J75*('Estructura de Costos Usados'!$B$13/12)</f>
        <v>1884.2878137600062</v>
      </c>
      <c r="J76" s="68">
        <f t="shared" si="13"/>
        <v>92251.59088200031</v>
      </c>
      <c r="K76" s="5">
        <f t="shared" si="14"/>
        <v>1252.8509399999998</v>
      </c>
      <c r="L76" s="6">
        <f>M75*('Estructura de Costos Usados'!$B$13/12)</f>
        <v>1202.7369023999945</v>
      </c>
      <c r="M76" s="68">
        <f t="shared" si="15"/>
        <v>58883.99417999973</v>
      </c>
    </row>
    <row r="77" spans="1:13" ht="12.75">
      <c r="A77" s="4">
        <f t="shared" si="16"/>
        <v>74</v>
      </c>
      <c r="B77" s="5">
        <f t="shared" si="17"/>
        <v>3121.6869254999997</v>
      </c>
      <c r="C77" s="6">
        <f>D76*('Estructura de Costos Usados'!$B$13/12)</f>
        <v>2934.3857099700126</v>
      </c>
      <c r="D77" s="68">
        <f t="shared" si="18"/>
        <v>143597.59857300064</v>
      </c>
      <c r="E77" s="5">
        <f t="shared" si="10"/>
        <v>1002.2807519999998</v>
      </c>
      <c r="F77" s="6">
        <f>G76*('Estructura de Costos Usados'!$B$13/12)</f>
        <v>942.1439068799937</v>
      </c>
      <c r="G77" s="68">
        <f t="shared" si="11"/>
        <v>46104.91459199968</v>
      </c>
      <c r="H77" s="5">
        <f t="shared" si="12"/>
        <v>1962.7998059999998</v>
      </c>
      <c r="I77" s="6">
        <f>J76*('Estructura de Costos Usados'!$B$13/12)</f>
        <v>1845.0318176400062</v>
      </c>
      <c r="J77" s="68">
        <f t="shared" si="13"/>
        <v>90288.79107600031</v>
      </c>
      <c r="K77" s="5">
        <f t="shared" si="14"/>
        <v>1252.8509399999998</v>
      </c>
      <c r="L77" s="6">
        <f>M76*('Estructura de Costos Usados'!$B$13/12)</f>
        <v>1177.6798835999946</v>
      </c>
      <c r="M77" s="68">
        <f t="shared" si="15"/>
        <v>57631.143239999736</v>
      </c>
    </row>
    <row r="78" spans="1:13" ht="12.75">
      <c r="A78" s="4">
        <f t="shared" si="16"/>
        <v>75</v>
      </c>
      <c r="B78" s="5">
        <f t="shared" si="17"/>
        <v>3121.6869254999997</v>
      </c>
      <c r="C78" s="6">
        <f>D77*('Estructura de Costos Usados'!$B$13/12)</f>
        <v>2871.951971460013</v>
      </c>
      <c r="D78" s="68">
        <f t="shared" si="18"/>
        <v>140475.91164750064</v>
      </c>
      <c r="E78" s="5">
        <f t="shared" si="10"/>
        <v>1002.2807519999998</v>
      </c>
      <c r="F78" s="6">
        <f>G77*('Estructura de Costos Usados'!$B$13/12)</f>
        <v>922.0982918399936</v>
      </c>
      <c r="G78" s="68">
        <f t="shared" si="11"/>
        <v>45102.63383999968</v>
      </c>
      <c r="H78" s="5">
        <f t="shared" si="12"/>
        <v>1962.7998059999998</v>
      </c>
      <c r="I78" s="6">
        <f>J77*('Estructura de Costos Usados'!$B$13/12)</f>
        <v>1805.7758215200063</v>
      </c>
      <c r="J78" s="68">
        <f t="shared" si="13"/>
        <v>88325.99127000032</v>
      </c>
      <c r="K78" s="5">
        <f t="shared" si="14"/>
        <v>1252.8509399999998</v>
      </c>
      <c r="L78" s="6">
        <f>M77*('Estructura de Costos Usados'!$B$13/12)</f>
        <v>1152.6228647999947</v>
      </c>
      <c r="M78" s="68">
        <f t="shared" si="15"/>
        <v>56378.29229999974</v>
      </c>
    </row>
    <row r="79" spans="1:13" ht="12.75">
      <c r="A79" s="4">
        <f t="shared" si="16"/>
        <v>76</v>
      </c>
      <c r="B79" s="5">
        <f t="shared" si="17"/>
        <v>3121.6869254999997</v>
      </c>
      <c r="C79" s="6">
        <f>D78*('Estructura de Costos Usados'!$B$13/12)</f>
        <v>2809.518232950013</v>
      </c>
      <c r="D79" s="68">
        <f t="shared" si="18"/>
        <v>137354.22472200065</v>
      </c>
      <c r="E79" s="5">
        <f t="shared" si="10"/>
        <v>1002.2807519999998</v>
      </c>
      <c r="F79" s="6">
        <f>G78*('Estructura de Costos Usados'!$B$13/12)</f>
        <v>902.0526767999936</v>
      </c>
      <c r="G79" s="68">
        <f t="shared" si="11"/>
        <v>44100.35308799968</v>
      </c>
      <c r="H79" s="5">
        <f t="shared" si="12"/>
        <v>1962.7998059999998</v>
      </c>
      <c r="I79" s="6">
        <f>J78*('Estructura de Costos Usados'!$B$13/12)</f>
        <v>1766.5198254000063</v>
      </c>
      <c r="J79" s="68">
        <f t="shared" si="13"/>
        <v>86363.19146400032</v>
      </c>
      <c r="K79" s="5">
        <f t="shared" si="14"/>
        <v>1252.8509399999998</v>
      </c>
      <c r="L79" s="6">
        <f>M78*('Estructura de Costos Usados'!$B$13/12)</f>
        <v>1127.5658459999947</v>
      </c>
      <c r="M79" s="68">
        <f t="shared" si="15"/>
        <v>55125.44135999974</v>
      </c>
    </row>
    <row r="80" spans="1:13" ht="12.75">
      <c r="A80" s="4">
        <f t="shared" si="16"/>
        <v>77</v>
      </c>
      <c r="B80" s="5">
        <f t="shared" si="17"/>
        <v>3121.6869254999997</v>
      </c>
      <c r="C80" s="6">
        <f>D79*('Estructura de Costos Usados'!$B$13/12)</f>
        <v>2747.0844944400133</v>
      </c>
      <c r="D80" s="68">
        <f t="shared" si="18"/>
        <v>134232.53779650066</v>
      </c>
      <c r="E80" s="5">
        <f t="shared" si="10"/>
        <v>1002.2807519999998</v>
      </c>
      <c r="F80" s="6">
        <f>G79*('Estructura de Costos Usados'!$B$13/12)</f>
        <v>882.0070617599937</v>
      </c>
      <c r="G80" s="68">
        <f t="shared" si="11"/>
        <v>43098.072335999685</v>
      </c>
      <c r="H80" s="5">
        <f t="shared" si="12"/>
        <v>1962.7998059999998</v>
      </c>
      <c r="I80" s="6">
        <f>J79*('Estructura de Costos Usados'!$B$13/12)</f>
        <v>1727.2638292800066</v>
      </c>
      <c r="J80" s="68">
        <f t="shared" si="13"/>
        <v>84400.39165800033</v>
      </c>
      <c r="K80" s="5">
        <f t="shared" si="14"/>
        <v>1252.8509399999998</v>
      </c>
      <c r="L80" s="6">
        <f>M79*('Estructura de Costos Usados'!$B$13/12)</f>
        <v>1102.5088271999948</v>
      </c>
      <c r="M80" s="68">
        <f t="shared" si="15"/>
        <v>53872.590419999746</v>
      </c>
    </row>
    <row r="81" spans="1:13" ht="12.75">
      <c r="A81" s="4">
        <f t="shared" si="16"/>
        <v>78</v>
      </c>
      <c r="B81" s="5">
        <f t="shared" si="17"/>
        <v>3121.6869254999997</v>
      </c>
      <c r="C81" s="6">
        <f>D80*('Estructura de Costos Usados'!$B$13/12)</f>
        <v>2684.6507559300135</v>
      </c>
      <c r="D81" s="68">
        <f t="shared" si="18"/>
        <v>131110.85087100067</v>
      </c>
      <c r="E81" s="5">
        <f t="shared" si="10"/>
        <v>1002.2807519999998</v>
      </c>
      <c r="F81" s="6">
        <f>G80*('Estructura de Costos Usados'!$B$13/12)</f>
        <v>861.9614467199937</v>
      </c>
      <c r="G81" s="68">
        <f t="shared" si="11"/>
        <v>42095.791583999686</v>
      </c>
      <c r="H81" s="5">
        <f t="shared" si="12"/>
        <v>1962.7998059999998</v>
      </c>
      <c r="I81" s="6">
        <f>J80*('Estructura de Costos Usados'!$B$13/12)</f>
        <v>1688.0078331600066</v>
      </c>
      <c r="J81" s="68">
        <f t="shared" si="13"/>
        <v>82437.59185200033</v>
      </c>
      <c r="K81" s="5">
        <f t="shared" si="14"/>
        <v>1252.8509399999998</v>
      </c>
      <c r="L81" s="6">
        <f>M80*('Estructura de Costos Usados'!$B$13/12)</f>
        <v>1077.451808399995</v>
      </c>
      <c r="M81" s="68">
        <f t="shared" si="15"/>
        <v>52619.73947999975</v>
      </c>
    </row>
    <row r="82" spans="1:13" ht="12.75">
      <c r="A82" s="4">
        <f t="shared" si="16"/>
        <v>79</v>
      </c>
      <c r="B82" s="5">
        <f t="shared" si="17"/>
        <v>3121.6869254999997</v>
      </c>
      <c r="C82" s="6">
        <f>D81*('Estructura de Costos Usados'!$B$13/12)</f>
        <v>2622.2170174200137</v>
      </c>
      <c r="D82" s="68">
        <f t="shared" si="18"/>
        <v>127989.16394550067</v>
      </c>
      <c r="E82" s="5">
        <f t="shared" si="10"/>
        <v>1002.2807519999998</v>
      </c>
      <c r="F82" s="6">
        <f>G81*('Estructura de Costos Usados'!$B$13/12)</f>
        <v>841.9158316799937</v>
      </c>
      <c r="G82" s="68">
        <f t="shared" si="11"/>
        <v>41093.51083199969</v>
      </c>
      <c r="H82" s="5">
        <f t="shared" si="12"/>
        <v>1962.7998059999998</v>
      </c>
      <c r="I82" s="6">
        <f>J81*('Estructura de Costos Usados'!$B$13/12)</f>
        <v>1648.7518370400066</v>
      </c>
      <c r="J82" s="68">
        <f t="shared" si="13"/>
        <v>80474.79204600034</v>
      </c>
      <c r="K82" s="5">
        <f t="shared" si="14"/>
        <v>1252.8509399999998</v>
      </c>
      <c r="L82" s="6">
        <f>M81*('Estructura de Costos Usados'!$B$13/12)</f>
        <v>1052.394789599995</v>
      </c>
      <c r="M82" s="68">
        <f t="shared" si="15"/>
        <v>51366.88853999975</v>
      </c>
    </row>
    <row r="83" spans="1:13" ht="12.75">
      <c r="A83" s="4">
        <f t="shared" si="16"/>
        <v>80</v>
      </c>
      <c r="B83" s="5">
        <f t="shared" si="17"/>
        <v>3121.6869254999997</v>
      </c>
      <c r="C83" s="6">
        <f>D82*('Estructura de Costos Usados'!$B$13/12)</f>
        <v>2559.7832789100135</v>
      </c>
      <c r="D83" s="68">
        <f t="shared" si="18"/>
        <v>124867.47702000066</v>
      </c>
      <c r="E83" s="5">
        <f t="shared" si="10"/>
        <v>1002.2807519999998</v>
      </c>
      <c r="F83" s="6">
        <f>G82*('Estructura de Costos Usados'!$B$13/12)</f>
        <v>821.8702166399937</v>
      </c>
      <c r="G83" s="68">
        <f t="shared" si="11"/>
        <v>40091.23007999969</v>
      </c>
      <c r="H83" s="5">
        <f t="shared" si="12"/>
        <v>1962.7998059999998</v>
      </c>
      <c r="I83" s="6">
        <f>J82*('Estructura de Costos Usados'!$B$13/12)</f>
        <v>1609.4958409200067</v>
      </c>
      <c r="J83" s="68">
        <f t="shared" si="13"/>
        <v>78511.99224000034</v>
      </c>
      <c r="K83" s="5">
        <f t="shared" si="14"/>
        <v>1252.8509399999998</v>
      </c>
      <c r="L83" s="6">
        <f>M82*('Estructura de Costos Usados'!$B$13/12)</f>
        <v>1027.337770799995</v>
      </c>
      <c r="M83" s="68">
        <f t="shared" si="15"/>
        <v>50114.037599999756</v>
      </c>
    </row>
    <row r="84" spans="1:13" ht="12.75">
      <c r="A84" s="4">
        <f t="shared" si="16"/>
        <v>81</v>
      </c>
      <c r="B84" s="5">
        <f t="shared" si="17"/>
        <v>3121.6869254999997</v>
      </c>
      <c r="C84" s="6">
        <f>D83*('Estructura de Costos Usados'!$B$13/12)</f>
        <v>2497.349540400013</v>
      </c>
      <c r="D84" s="68">
        <f t="shared" si="18"/>
        <v>121745.79009450065</v>
      </c>
      <c r="E84" s="5">
        <f t="shared" si="10"/>
        <v>1002.2807519999998</v>
      </c>
      <c r="F84" s="6">
        <f>G83*('Estructura de Costos Usados'!$B$13/12)</f>
        <v>801.8246015999938</v>
      </c>
      <c r="G84" s="68">
        <f t="shared" si="11"/>
        <v>39088.94932799969</v>
      </c>
      <c r="H84" s="5">
        <f t="shared" si="12"/>
        <v>1962.7998059999998</v>
      </c>
      <c r="I84" s="6">
        <f>J83*('Estructura de Costos Usados'!$B$13/12)</f>
        <v>1570.239844800007</v>
      </c>
      <c r="J84" s="68">
        <f t="shared" si="13"/>
        <v>76549.19243400035</v>
      </c>
      <c r="K84" s="5">
        <f t="shared" si="14"/>
        <v>1252.8509399999998</v>
      </c>
      <c r="L84" s="6">
        <f>M83*('Estructura de Costos Usados'!$B$13/12)</f>
        <v>1002.2807519999951</v>
      </c>
      <c r="M84" s="68">
        <f t="shared" si="15"/>
        <v>48861.18665999976</v>
      </c>
    </row>
    <row r="85" spans="1:13" ht="12.75">
      <c r="A85" s="4">
        <f t="shared" si="16"/>
        <v>82</v>
      </c>
      <c r="B85" s="5">
        <f t="shared" si="17"/>
        <v>3121.6869254999997</v>
      </c>
      <c r="C85" s="6">
        <f>D84*('Estructura de Costos Usados'!$B$13/12)</f>
        <v>2434.915801890013</v>
      </c>
      <c r="D85" s="68">
        <f t="shared" si="18"/>
        <v>118624.10316900065</v>
      </c>
      <c r="E85" s="5">
        <f t="shared" si="10"/>
        <v>1002.2807519999998</v>
      </c>
      <c r="F85" s="6">
        <f>G84*('Estructura de Costos Usados'!$B$13/12)</f>
        <v>781.7789865599938</v>
      </c>
      <c r="G85" s="68">
        <f t="shared" si="11"/>
        <v>38086.66857599969</v>
      </c>
      <c r="H85" s="5">
        <f t="shared" si="12"/>
        <v>1962.7998059999998</v>
      </c>
      <c r="I85" s="6">
        <f>J84*('Estructura de Costos Usados'!$B$13/12)</f>
        <v>1530.983848680007</v>
      </c>
      <c r="J85" s="68">
        <f t="shared" si="13"/>
        <v>74586.39262800035</v>
      </c>
      <c r="K85" s="5">
        <f t="shared" si="14"/>
        <v>1252.8509399999998</v>
      </c>
      <c r="L85" s="6">
        <f>M84*('Estructura de Costos Usados'!$B$13/12)</f>
        <v>977.2237331999952</v>
      </c>
      <c r="M85" s="68">
        <f t="shared" si="15"/>
        <v>47608.33571999976</v>
      </c>
    </row>
    <row r="86" spans="1:13" ht="12.75">
      <c r="A86" s="4">
        <f t="shared" si="16"/>
        <v>83</v>
      </c>
      <c r="B86" s="5">
        <f t="shared" si="17"/>
        <v>3121.6869254999997</v>
      </c>
      <c r="C86" s="6">
        <f>D85*('Estructura de Costos Usados'!$B$13/12)</f>
        <v>2372.482063380013</v>
      </c>
      <c r="D86" s="68">
        <f t="shared" si="18"/>
        <v>115502.41624350064</v>
      </c>
      <c r="E86" s="5">
        <f t="shared" si="10"/>
        <v>1002.2807519999998</v>
      </c>
      <c r="F86" s="6">
        <f>G85*('Estructura de Costos Usados'!$B$13/12)</f>
        <v>761.7333715199939</v>
      </c>
      <c r="G86" s="68">
        <f t="shared" si="11"/>
        <v>37084.38782399969</v>
      </c>
      <c r="H86" s="5">
        <f t="shared" si="12"/>
        <v>1962.7998059999998</v>
      </c>
      <c r="I86" s="6">
        <f>J85*('Estructura de Costos Usados'!$B$13/12)</f>
        <v>1491.727852560007</v>
      </c>
      <c r="J86" s="68">
        <f t="shared" si="13"/>
        <v>72623.59282200036</v>
      </c>
      <c r="K86" s="5">
        <f t="shared" si="14"/>
        <v>1252.8509399999998</v>
      </c>
      <c r="L86" s="6">
        <f>M85*('Estructura de Costos Usados'!$B$13/12)</f>
        <v>952.1667143999953</v>
      </c>
      <c r="M86" s="68">
        <f t="shared" si="15"/>
        <v>46355.484779999766</v>
      </c>
    </row>
    <row r="87" spans="1:13" ht="12.75">
      <c r="A87" s="4">
        <f>A86+1</f>
        <v>84</v>
      </c>
      <c r="B87" s="5">
        <f t="shared" si="17"/>
        <v>3121.6869254999997</v>
      </c>
      <c r="C87" s="6">
        <f>D86*('Estructura de Costos Usados'!$B$13/12)</f>
        <v>2310.048324870013</v>
      </c>
      <c r="D87" s="68">
        <f>D86-B87</f>
        <v>112380.72931800064</v>
      </c>
      <c r="E87" s="5">
        <f t="shared" si="10"/>
        <v>1002.2807519999998</v>
      </c>
      <c r="F87" s="6">
        <f>G86*('Estructura de Costos Usados'!$B$13/12)</f>
        <v>741.6877564799938</v>
      </c>
      <c r="G87" s="68">
        <f t="shared" si="11"/>
        <v>36082.10707199969</v>
      </c>
      <c r="H87" s="5">
        <f t="shared" si="12"/>
        <v>1962.7998059999998</v>
      </c>
      <c r="I87" s="6">
        <f>J86*('Estructura de Costos Usados'!$B$13/12)</f>
        <v>1452.471856440007</v>
      </c>
      <c r="J87" s="68">
        <f t="shared" si="13"/>
        <v>70660.79301600036</v>
      </c>
      <c r="K87" s="5">
        <f t="shared" si="14"/>
        <v>1252.8509399999998</v>
      </c>
      <c r="L87" s="6">
        <f>M86*('Estructura de Costos Usados'!$B$13/12)</f>
        <v>927.1096955999953</v>
      </c>
      <c r="M87" s="68">
        <f t="shared" si="15"/>
        <v>45102.63383999977</v>
      </c>
    </row>
    <row r="88" spans="1:13" ht="12.75">
      <c r="A88" s="4"/>
      <c r="B88" s="5"/>
      <c r="C88" s="6"/>
      <c r="D88" s="68"/>
      <c r="E88" s="5"/>
      <c r="F88" s="6"/>
      <c r="G88" s="68"/>
      <c r="H88" s="5"/>
      <c r="I88" s="6"/>
      <c r="J88" s="68"/>
      <c r="K88" s="5"/>
      <c r="L88" s="6"/>
      <c r="M88" s="68"/>
    </row>
    <row r="89" spans="1:13" ht="12.75">
      <c r="A89" s="4"/>
      <c r="B89" s="5"/>
      <c r="C89" s="6">
        <f>SUM(C4:C87)</f>
        <v>411688.0717349406</v>
      </c>
      <c r="D89" s="68">
        <f>D3*0.3</f>
        <v>112380.72931799998</v>
      </c>
      <c r="E89" s="5"/>
      <c r="F89" s="6">
        <f>SUM(F4:F87)</f>
        <v>132180.7855737596</v>
      </c>
      <c r="G89" s="68">
        <f>G3*0.3</f>
        <v>36082.10707199999</v>
      </c>
      <c r="H89" s="5"/>
      <c r="I89" s="6">
        <f>SUM(I4:I87)</f>
        <v>258854.0384152803</v>
      </c>
      <c r="J89" s="68">
        <f>J3*0.3</f>
        <v>70660.793016</v>
      </c>
      <c r="K89" s="5"/>
      <c r="L89" s="6">
        <f>SUM(L4:L87)</f>
        <v>165225.98196719965</v>
      </c>
      <c r="M89" s="68">
        <f>M3*0.3</f>
        <v>45102.63383999999</v>
      </c>
    </row>
    <row r="90" spans="1:13" ht="13.5" thickBot="1">
      <c r="A90" s="4"/>
      <c r="B90" s="69"/>
      <c r="C90" s="29">
        <f>C89/A87</f>
        <v>4901.048473035007</v>
      </c>
      <c r="D90" s="70"/>
      <c r="E90" s="69"/>
      <c r="F90" s="29">
        <f>F89/A87</f>
        <v>1573.5807806399953</v>
      </c>
      <c r="G90" s="70"/>
      <c r="H90" s="69"/>
      <c r="I90" s="29">
        <f>I89/A87</f>
        <v>3081.5956954200033</v>
      </c>
      <c r="J90" s="70"/>
      <c r="K90" s="69"/>
      <c r="L90" s="29">
        <f>L89/A87</f>
        <v>1966.975975799996</v>
      </c>
      <c r="M90" s="70"/>
    </row>
    <row r="91" spans="1:4" ht="12.75">
      <c r="A91" s="4"/>
      <c r="B91" s="4"/>
      <c r="C91" s="4"/>
      <c r="D91" s="58"/>
    </row>
  </sheetData>
  <sheetProtection/>
  <printOptions/>
  <pageMargins left="0.75" right="0.75" top="0.38" bottom="0.4" header="0" footer="0"/>
  <pageSetup fitToHeight="1" fitToWidth="1"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56"/>
  <sheetViews>
    <sheetView zoomScale="85" zoomScaleNormal="85" zoomScalePageLayoutView="0" workbookViewId="0" topLeftCell="A1">
      <selection activeCell="U1" sqref="U1"/>
    </sheetView>
  </sheetViews>
  <sheetFormatPr defaultColWidth="11.421875" defaultRowHeight="12.75"/>
  <cols>
    <col min="1" max="1" width="11.421875" style="0" customWidth="1"/>
    <col min="2" max="2" width="23.421875" style="0" customWidth="1"/>
    <col min="3" max="3" width="0" style="0" hidden="1" customWidth="1"/>
    <col min="4" max="4" width="14.140625" style="0" customWidth="1"/>
    <col min="5" max="6" width="11.421875" style="0" customWidth="1"/>
    <col min="7" max="7" width="13.140625" style="0" customWidth="1"/>
    <col min="8" max="8" width="13.140625" style="0" hidden="1" customWidth="1"/>
    <col min="9" max="9" width="11.421875" style="0" customWidth="1"/>
    <col min="10" max="10" width="13.8515625" style="0" customWidth="1"/>
  </cols>
  <sheetData>
    <row r="1" spans="2:21" s="4" customFormat="1" ht="12.75">
      <c r="B1" s="35" t="s">
        <v>50</v>
      </c>
      <c r="D1" s="35" t="s">
        <v>232</v>
      </c>
      <c r="J1" s="4">
        <f>'Estructura de Costos Usados'!K9</f>
        <v>162.87062219999999</v>
      </c>
      <c r="U1" s="37">
        <f>7*1.15</f>
        <v>8.049999999999999</v>
      </c>
    </row>
    <row r="2" s="4" customFormat="1" ht="12.75"/>
    <row r="3" spans="2:66" s="4" customFormat="1" ht="12.75">
      <c r="B3" s="24" t="s">
        <v>51</v>
      </c>
      <c r="C3" s="24" t="s">
        <v>52</v>
      </c>
      <c r="D3" s="24" t="s">
        <v>53</v>
      </c>
      <c r="E3" s="24" t="s">
        <v>54</v>
      </c>
      <c r="F3" s="24" t="s">
        <v>54</v>
      </c>
      <c r="G3" s="24" t="s">
        <v>55</v>
      </c>
      <c r="H3" s="24" t="s">
        <v>230</v>
      </c>
      <c r="I3" s="24" t="s">
        <v>56</v>
      </c>
      <c r="J3" s="24" t="s">
        <v>55</v>
      </c>
      <c r="K3" s="24" t="s">
        <v>57</v>
      </c>
      <c r="L3" s="36" t="s">
        <v>256</v>
      </c>
      <c r="M3" s="37"/>
      <c r="N3" s="37"/>
      <c r="O3" s="37"/>
      <c r="U3" s="33"/>
      <c r="V3" s="33"/>
      <c r="W3" s="33"/>
      <c r="X3" s="33"/>
      <c r="BK3" s="38"/>
      <c r="BL3" s="38"/>
      <c r="BM3" s="38"/>
      <c r="BN3" s="38"/>
    </row>
    <row r="4" spans="2:24" s="4" customFormat="1" ht="12.75">
      <c r="B4" s="24"/>
      <c r="C4" s="24"/>
      <c r="D4" s="24" t="s">
        <v>59</v>
      </c>
      <c r="E4" s="24" t="s">
        <v>60</v>
      </c>
      <c r="F4" s="24" t="s">
        <v>244</v>
      </c>
      <c r="G4" s="24" t="s">
        <v>60</v>
      </c>
      <c r="H4" s="24">
        <v>38504</v>
      </c>
      <c r="I4" s="24" t="s">
        <v>61</v>
      </c>
      <c r="J4" s="24" t="s">
        <v>61</v>
      </c>
      <c r="K4" s="24" t="s">
        <v>62</v>
      </c>
      <c r="L4" s="37"/>
      <c r="M4" s="37"/>
      <c r="N4" s="37"/>
      <c r="O4" s="37"/>
      <c r="U4" s="33"/>
      <c r="V4" s="33"/>
      <c r="W4" s="33"/>
      <c r="X4" s="33"/>
    </row>
    <row r="5" spans="12:24" s="4" customFormat="1" ht="12.75" hidden="1">
      <c r="L5" s="37"/>
      <c r="M5" s="37"/>
      <c r="N5" s="37"/>
      <c r="O5" s="37"/>
      <c r="U5" s="33"/>
      <c r="V5" s="33"/>
      <c r="W5" s="33"/>
      <c r="X5" s="33"/>
    </row>
    <row r="6" spans="2:24" s="4" customFormat="1" ht="12.75">
      <c r="B6" s="24" t="s">
        <v>63</v>
      </c>
      <c r="L6" s="37"/>
      <c r="M6" s="37"/>
      <c r="N6" s="37"/>
      <c r="O6" s="37"/>
      <c r="P6" s="24"/>
      <c r="Q6" s="24"/>
      <c r="R6" s="24"/>
      <c r="S6" s="24"/>
      <c r="T6" s="24"/>
      <c r="U6" s="33"/>
      <c r="V6" s="33"/>
      <c r="W6" s="33"/>
      <c r="X6" s="33"/>
    </row>
    <row r="7" spans="2:76" s="4" customFormat="1" ht="12.75">
      <c r="B7" s="4" t="s">
        <v>94</v>
      </c>
      <c r="I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3"/>
      <c r="V7" s="33"/>
      <c r="W7" s="33"/>
      <c r="X7" s="33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</row>
    <row r="8" spans="2:76" s="4" customFormat="1" ht="12.75">
      <c r="B8" s="4" t="s">
        <v>95</v>
      </c>
      <c r="C8" s="4">
        <v>200000</v>
      </c>
      <c r="D8" s="4">
        <f aca="true" t="shared" si="0" ref="D8:D18">C8*1.6</f>
        <v>320000</v>
      </c>
      <c r="E8" s="4">
        <v>468.75</v>
      </c>
      <c r="F8" s="4">
        <v>300</v>
      </c>
      <c r="G8" s="4">
        <f>E8*$U$1</f>
        <v>3773.4374999999995</v>
      </c>
      <c r="I8" s="37">
        <v>3</v>
      </c>
      <c r="J8" s="4">
        <f aca="true" t="shared" si="1" ref="J8:J18">I8*$J$1</f>
        <v>488.6118666</v>
      </c>
      <c r="K8" s="37">
        <f aca="true" t="shared" si="2" ref="K8:K18">(((E8)*$U$1)+J8)/D8</f>
        <v>0.013318904270624998</v>
      </c>
      <c r="L8" s="37"/>
      <c r="M8" s="37">
        <f>SUM(K8:K101)</f>
        <v>1.7920765025228445</v>
      </c>
      <c r="N8" s="37"/>
      <c r="O8" s="37"/>
      <c r="P8" s="37"/>
      <c r="Q8" s="37"/>
      <c r="R8" s="37"/>
      <c r="S8" s="37"/>
      <c r="T8" s="37"/>
      <c r="U8" s="33"/>
      <c r="V8" s="33"/>
      <c r="W8" s="33"/>
      <c r="X8" s="33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</row>
    <row r="9" spans="2:76" s="4" customFormat="1" ht="12.75">
      <c r="B9" s="4" t="s">
        <v>96</v>
      </c>
      <c r="C9" s="4">
        <v>80000</v>
      </c>
      <c r="D9" s="4">
        <f t="shared" si="0"/>
        <v>128000</v>
      </c>
      <c r="E9" s="4">
        <v>78.125</v>
      </c>
      <c r="F9" s="4">
        <v>50</v>
      </c>
      <c r="G9" s="4">
        <f aca="true" t="shared" si="3" ref="G9:G18">E9*$U$1</f>
        <v>628.9062499999999</v>
      </c>
      <c r="I9" s="37">
        <v>1</v>
      </c>
      <c r="J9" s="4">
        <f t="shared" si="1"/>
        <v>162.87062219999999</v>
      </c>
      <c r="K9" s="37">
        <f t="shared" si="2"/>
        <v>0.0061857568140624986</v>
      </c>
      <c r="L9" s="37"/>
      <c r="M9" s="37"/>
      <c r="N9" s="37"/>
      <c r="O9" s="37"/>
      <c r="U9" s="33"/>
      <c r="V9" s="33"/>
      <c r="W9" s="33"/>
      <c r="X9" s="33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</row>
    <row r="10" spans="2:76" s="4" customFormat="1" ht="12.75">
      <c r="B10" s="4" t="s">
        <v>97</v>
      </c>
      <c r="C10" s="4">
        <v>200000</v>
      </c>
      <c r="D10" s="4">
        <f t="shared" si="0"/>
        <v>320000</v>
      </c>
      <c r="E10" s="4">
        <v>781.25</v>
      </c>
      <c r="F10" s="4">
        <v>500</v>
      </c>
      <c r="G10" s="4">
        <f t="shared" si="3"/>
        <v>6289.062499999999</v>
      </c>
      <c r="I10" s="37">
        <v>6</v>
      </c>
      <c r="J10" s="4">
        <f t="shared" si="1"/>
        <v>977.2237332</v>
      </c>
      <c r="K10" s="37">
        <f t="shared" si="2"/>
        <v>0.022707144478749997</v>
      </c>
      <c r="L10" s="37"/>
      <c r="M10" s="37"/>
      <c r="N10" s="37"/>
      <c r="O10" s="37"/>
      <c r="U10" s="33"/>
      <c r="V10" s="33"/>
      <c r="W10" s="33"/>
      <c r="X10" s="33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</row>
    <row r="11" spans="2:76" s="4" customFormat="1" ht="12.75">
      <c r="B11" s="4" t="s">
        <v>98</v>
      </c>
      <c r="C11" s="4">
        <v>40000</v>
      </c>
      <c r="D11" s="4">
        <f t="shared" si="0"/>
        <v>64000</v>
      </c>
      <c r="E11" s="4">
        <v>312.5</v>
      </c>
      <c r="F11" s="4">
        <v>200</v>
      </c>
      <c r="G11" s="4">
        <f t="shared" si="3"/>
        <v>2515.6249999999995</v>
      </c>
      <c r="I11" s="37">
        <v>3</v>
      </c>
      <c r="J11" s="4">
        <f t="shared" si="1"/>
        <v>488.6118666</v>
      </c>
      <c r="K11" s="37">
        <f t="shared" si="2"/>
        <v>0.04694120104062499</v>
      </c>
      <c r="L11" s="37"/>
      <c r="M11" s="37"/>
      <c r="N11" s="37"/>
      <c r="O11" s="37"/>
      <c r="U11" s="33"/>
      <c r="V11" s="33"/>
      <c r="W11" s="33"/>
      <c r="X11" s="33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</row>
    <row r="12" spans="2:76" s="4" customFormat="1" ht="12.75">
      <c r="B12" s="4" t="s">
        <v>236</v>
      </c>
      <c r="C12" s="4">
        <v>400000</v>
      </c>
      <c r="D12" s="4">
        <f t="shared" si="0"/>
        <v>640000</v>
      </c>
      <c r="E12" s="4">
        <v>7812.5</v>
      </c>
      <c r="F12" s="4">
        <v>5000</v>
      </c>
      <c r="G12" s="4">
        <f t="shared" si="3"/>
        <v>62890.62499999999</v>
      </c>
      <c r="I12" s="37">
        <v>48</v>
      </c>
      <c r="J12" s="4">
        <f t="shared" si="1"/>
        <v>7817.7898656</v>
      </c>
      <c r="K12" s="37">
        <f>(((E12)*$U$1)+J12)/D12</f>
        <v>0.11048189822749999</v>
      </c>
      <c r="L12" s="37"/>
      <c r="M12" s="37"/>
      <c r="N12" s="37"/>
      <c r="O12" s="37"/>
      <c r="U12" s="33"/>
      <c r="V12" s="33"/>
      <c r="W12" s="33"/>
      <c r="X12" s="33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</row>
    <row r="13" spans="2:76" s="4" customFormat="1" ht="12.75">
      <c r="B13" s="4" t="s">
        <v>99</v>
      </c>
      <c r="C13" s="4">
        <v>200000</v>
      </c>
      <c r="D13" s="4">
        <f t="shared" si="0"/>
        <v>320000</v>
      </c>
      <c r="E13" s="4">
        <v>1562.5</v>
      </c>
      <c r="F13" s="4">
        <v>1000</v>
      </c>
      <c r="G13" s="4">
        <f t="shared" si="3"/>
        <v>12578.124999999998</v>
      </c>
      <c r="I13" s="37">
        <v>1</v>
      </c>
      <c r="J13" s="4">
        <f t="shared" si="1"/>
        <v>162.87062219999999</v>
      </c>
      <c r="K13" s="37">
        <f t="shared" si="2"/>
        <v>0.03981561131937499</v>
      </c>
      <c r="L13" s="37"/>
      <c r="M13" s="37"/>
      <c r="N13" s="37"/>
      <c r="O13" s="37"/>
      <c r="U13" s="33"/>
      <c r="V13" s="33"/>
      <c r="W13" s="33"/>
      <c r="X13" s="33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</row>
    <row r="14" spans="2:76" s="4" customFormat="1" ht="12.75">
      <c r="B14" s="4" t="s">
        <v>100</v>
      </c>
      <c r="C14" s="4">
        <v>150000</v>
      </c>
      <c r="D14" s="4">
        <f t="shared" si="0"/>
        <v>240000</v>
      </c>
      <c r="E14" s="4">
        <v>1562.5</v>
      </c>
      <c r="F14" s="4">
        <v>1000</v>
      </c>
      <c r="G14" s="4">
        <f t="shared" si="3"/>
        <v>12578.124999999998</v>
      </c>
      <c r="I14" s="37">
        <v>4</v>
      </c>
      <c r="J14" s="4">
        <f t="shared" si="1"/>
        <v>651.4824887999999</v>
      </c>
      <c r="K14" s="37">
        <f t="shared" si="2"/>
        <v>0.055123364536666664</v>
      </c>
      <c r="L14" s="37"/>
      <c r="M14" s="37"/>
      <c r="N14" s="37"/>
      <c r="O14" s="37"/>
      <c r="U14" s="33"/>
      <c r="V14" s="33"/>
      <c r="W14" s="33"/>
      <c r="X14" s="33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</row>
    <row r="15" spans="2:76" s="4" customFormat="1" ht="12.75">
      <c r="B15" s="4" t="s">
        <v>101</v>
      </c>
      <c r="C15" s="4">
        <v>200000</v>
      </c>
      <c r="D15" s="4">
        <v>420000</v>
      </c>
      <c r="E15" s="4">
        <v>234.375</v>
      </c>
      <c r="F15" s="4">
        <v>150</v>
      </c>
      <c r="G15" s="4">
        <f t="shared" si="3"/>
        <v>1886.7187499999998</v>
      </c>
      <c r="I15" s="37">
        <v>3</v>
      </c>
      <c r="J15" s="4">
        <f t="shared" si="1"/>
        <v>488.6118666</v>
      </c>
      <c r="K15" s="37">
        <f t="shared" si="2"/>
        <v>0.0056555490871428565</v>
      </c>
      <c r="L15" s="37"/>
      <c r="M15" s="37"/>
      <c r="N15" s="37"/>
      <c r="O15" s="37"/>
      <c r="U15" s="33"/>
      <c r="V15" s="33"/>
      <c r="W15" s="33"/>
      <c r="X15" s="33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</row>
    <row r="16" spans="2:76" s="4" customFormat="1" ht="12.75">
      <c r="B16" s="4" t="s">
        <v>102</v>
      </c>
      <c r="C16" s="4">
        <v>300000</v>
      </c>
      <c r="D16" s="4">
        <v>600000</v>
      </c>
      <c r="E16" s="4">
        <v>625</v>
      </c>
      <c r="F16" s="4">
        <v>400</v>
      </c>
      <c r="G16" s="4">
        <f t="shared" si="3"/>
        <v>5031.249999999999</v>
      </c>
      <c r="I16" s="37">
        <v>4</v>
      </c>
      <c r="J16" s="4">
        <f t="shared" si="1"/>
        <v>651.4824887999999</v>
      </c>
      <c r="K16" s="37">
        <f t="shared" si="2"/>
        <v>0.009471220814666666</v>
      </c>
      <c r="L16" s="37"/>
      <c r="M16" s="37"/>
      <c r="N16" s="37"/>
      <c r="O16" s="37"/>
      <c r="U16" s="33"/>
      <c r="V16" s="33"/>
      <c r="W16" s="33"/>
      <c r="X16" s="33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</row>
    <row r="17" spans="2:76" s="4" customFormat="1" ht="12.75">
      <c r="B17" s="4" t="s">
        <v>103</v>
      </c>
      <c r="C17" s="4">
        <v>100000</v>
      </c>
      <c r="D17" s="4">
        <v>360000</v>
      </c>
      <c r="E17" s="4">
        <v>468.75</v>
      </c>
      <c r="F17" s="4">
        <v>300</v>
      </c>
      <c r="G17" s="4">
        <f t="shared" si="3"/>
        <v>3773.4374999999995</v>
      </c>
      <c r="I17" s="37">
        <v>1</v>
      </c>
      <c r="J17" s="4">
        <f t="shared" si="1"/>
        <v>162.87062219999999</v>
      </c>
      <c r="K17" s="37">
        <f t="shared" si="2"/>
        <v>0.010934189228333332</v>
      </c>
      <c r="L17" s="37"/>
      <c r="M17" s="37"/>
      <c r="N17" s="37"/>
      <c r="O17" s="37"/>
      <c r="U17" s="33"/>
      <c r="V17" s="33"/>
      <c r="W17" s="33"/>
      <c r="X17" s="33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</row>
    <row r="18" spans="2:76" s="4" customFormat="1" ht="12.75">
      <c r="B18" s="4" t="s">
        <v>104</v>
      </c>
      <c r="C18" s="4">
        <v>200000</v>
      </c>
      <c r="D18" s="4">
        <f t="shared" si="0"/>
        <v>320000</v>
      </c>
      <c r="E18" s="4">
        <v>1562.5</v>
      </c>
      <c r="F18" s="4">
        <v>1000</v>
      </c>
      <c r="G18" s="4">
        <f t="shared" si="3"/>
        <v>12578.124999999998</v>
      </c>
      <c r="I18" s="37">
        <v>3</v>
      </c>
      <c r="J18" s="4">
        <f t="shared" si="1"/>
        <v>488.6118666</v>
      </c>
      <c r="K18" s="37">
        <f t="shared" si="2"/>
        <v>0.040833552708125</v>
      </c>
      <c r="L18" s="37"/>
      <c r="M18" s="37"/>
      <c r="N18" s="37"/>
      <c r="O18" s="37"/>
      <c r="U18" s="33"/>
      <c r="V18" s="33"/>
      <c r="W18" s="33"/>
      <c r="X18" s="33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</row>
    <row r="19" spans="2:76" s="4" customFormat="1" ht="12.75">
      <c r="B19" s="4" t="s">
        <v>105</v>
      </c>
      <c r="I19" s="37"/>
      <c r="K19" s="37"/>
      <c r="L19" s="37">
        <f>SUM(K8:K18)</f>
        <v>0.361468392525872</v>
      </c>
      <c r="M19" s="37"/>
      <c r="N19" s="37"/>
      <c r="O19" s="37"/>
      <c r="U19" s="33"/>
      <c r="V19" s="33"/>
      <c r="W19" s="33"/>
      <c r="X19" s="33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</row>
    <row r="20" spans="2:76" s="4" customFormat="1" ht="12.75">
      <c r="B20" s="4" t="s">
        <v>114</v>
      </c>
      <c r="I20" s="37"/>
      <c r="K20" s="37"/>
      <c r="L20" s="37"/>
      <c r="M20" s="37"/>
      <c r="N20" s="37"/>
      <c r="O20" s="37"/>
      <c r="U20" s="33"/>
      <c r="V20" s="33"/>
      <c r="W20" s="33"/>
      <c r="X20" s="33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</row>
    <row r="21" spans="2:76" s="4" customFormat="1" ht="12.75">
      <c r="B21" s="4" t="s">
        <v>115</v>
      </c>
      <c r="C21" s="4">
        <v>6500</v>
      </c>
      <c r="D21" s="4">
        <f>C21*1.6</f>
        <v>10400</v>
      </c>
      <c r="E21" s="4">
        <f>F21</f>
        <v>150</v>
      </c>
      <c r="F21" s="4">
        <v>150</v>
      </c>
      <c r="G21" s="4">
        <f>E21*$U$1</f>
        <v>1207.4999999999998</v>
      </c>
      <c r="I21" s="37">
        <v>2</v>
      </c>
      <c r="J21" s="4">
        <f>I21*$J$1</f>
        <v>325.74124439999997</v>
      </c>
      <c r="K21" s="37">
        <f>(((E21)*$U$1)+J21)/D21</f>
        <v>0.1474270427307692</v>
      </c>
      <c r="L21" s="37"/>
      <c r="M21" s="37"/>
      <c r="N21" s="37"/>
      <c r="O21" s="37"/>
      <c r="U21" s="33"/>
      <c r="V21" s="33"/>
      <c r="W21" s="33"/>
      <c r="X21" s="33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</row>
    <row r="22" spans="2:76" s="4" customFormat="1" ht="11.25" customHeight="1">
      <c r="B22" s="4" t="s">
        <v>116</v>
      </c>
      <c r="C22" s="4">
        <v>10000</v>
      </c>
      <c r="D22" s="4">
        <v>30000</v>
      </c>
      <c r="E22" s="4">
        <f>F22</f>
        <v>40</v>
      </c>
      <c r="F22" s="4">
        <v>40</v>
      </c>
      <c r="G22" s="4">
        <f>E22*$U$1</f>
        <v>321.99999999999994</v>
      </c>
      <c r="I22" s="37">
        <v>0.5</v>
      </c>
      <c r="J22" s="4">
        <f>I22*$J$1</f>
        <v>81.43531109999999</v>
      </c>
      <c r="K22" s="37">
        <f>(((E22)*$U$1)+J22)/D22</f>
        <v>0.01344784370333333</v>
      </c>
      <c r="L22" s="37"/>
      <c r="M22" s="37"/>
      <c r="N22" s="37"/>
      <c r="O22" s="37"/>
      <c r="U22" s="33"/>
      <c r="V22" s="33"/>
      <c r="W22" s="33"/>
      <c r="X22" s="33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</row>
    <row r="23" spans="1:76" s="24" customFormat="1" ht="11.25" customHeight="1">
      <c r="A23" s="4"/>
      <c r="B23" s="4" t="s">
        <v>117</v>
      </c>
      <c r="C23" s="4">
        <v>6500</v>
      </c>
      <c r="D23" s="4">
        <f>C23*1.6</f>
        <v>10400</v>
      </c>
      <c r="E23" s="4">
        <f>F23</f>
        <v>50</v>
      </c>
      <c r="F23" s="4">
        <v>50</v>
      </c>
      <c r="G23" s="4">
        <f>E23*$U$1</f>
        <v>402.49999999999994</v>
      </c>
      <c r="H23" s="4"/>
      <c r="I23" s="37">
        <v>0.5</v>
      </c>
      <c r="J23" s="4">
        <f>I23*$J$1</f>
        <v>81.43531109999999</v>
      </c>
      <c r="K23" s="37">
        <f>(((E23)*$U$1)+J23)/D23</f>
        <v>0.04653224145192307</v>
      </c>
      <c r="L23" s="37"/>
      <c r="M23" s="37"/>
      <c r="N23" s="37"/>
      <c r="O23" s="37"/>
      <c r="P23" s="4"/>
      <c r="Q23" s="4"/>
      <c r="R23" s="4"/>
      <c r="S23" s="4"/>
      <c r="T23" s="4"/>
      <c r="U23" s="33"/>
      <c r="V23" s="33"/>
      <c r="W23" s="33"/>
      <c r="X23" s="33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</row>
    <row r="24" spans="2:76" s="4" customFormat="1" ht="12.75">
      <c r="B24" s="4" t="s">
        <v>118</v>
      </c>
      <c r="C24" s="4">
        <v>6500</v>
      </c>
      <c r="D24" s="4">
        <v>100000</v>
      </c>
      <c r="E24" s="4">
        <v>78.125</v>
      </c>
      <c r="F24" s="4">
        <v>50</v>
      </c>
      <c r="G24" s="4">
        <f>E24*$U$1</f>
        <v>628.9062499999999</v>
      </c>
      <c r="I24" s="37">
        <v>0.5</v>
      </c>
      <c r="J24" s="4">
        <f>I24*$J$1</f>
        <v>81.43531109999999</v>
      </c>
      <c r="K24" s="37">
        <f>(((E24)*$U$1)+J24)/D24</f>
        <v>0.007103415610999999</v>
      </c>
      <c r="L24" s="37"/>
      <c r="M24" s="37"/>
      <c r="N24" s="37"/>
      <c r="O24" s="37"/>
      <c r="U24" s="33"/>
      <c r="V24" s="33"/>
      <c r="W24" s="33"/>
      <c r="X24" s="33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</row>
    <row r="25" spans="2:76" s="4" customFormat="1" ht="12.75">
      <c r="B25" s="4" t="s">
        <v>119</v>
      </c>
      <c r="C25" s="4">
        <v>4000</v>
      </c>
      <c r="D25" s="4">
        <f>C25*1.6</f>
        <v>6400</v>
      </c>
      <c r="I25" s="37">
        <v>0.5</v>
      </c>
      <c r="J25" s="4">
        <f>I25*$J$1</f>
        <v>81.43531109999999</v>
      </c>
      <c r="K25" s="37">
        <f>(((E25)*$U$1)+J25)/D25</f>
        <v>0.012724267359375</v>
      </c>
      <c r="L25" s="37"/>
      <c r="M25" s="37"/>
      <c r="N25" s="37"/>
      <c r="O25" s="37"/>
      <c r="U25" s="33"/>
      <c r="V25" s="33"/>
      <c r="W25" s="33"/>
      <c r="X25" s="33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</row>
    <row r="26" spans="2:76" s="4" customFormat="1" ht="12.75">
      <c r="B26" s="4" t="s">
        <v>120</v>
      </c>
      <c r="I26" s="37"/>
      <c r="K26" s="37"/>
      <c r="L26" s="37">
        <f>SUM(K21:K25)</f>
        <v>0.22723481085640063</v>
      </c>
      <c r="M26" s="37"/>
      <c r="N26" s="37"/>
      <c r="O26" s="37"/>
      <c r="U26" s="33"/>
      <c r="V26" s="33"/>
      <c r="W26" s="33"/>
      <c r="X26" s="33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</row>
    <row r="27" spans="2:76" s="4" customFormat="1" ht="12.75">
      <c r="B27" s="4" t="s">
        <v>106</v>
      </c>
      <c r="C27" s="33"/>
      <c r="D27" s="33"/>
      <c r="E27" s="33"/>
      <c r="F27" s="33"/>
      <c r="G27" s="33"/>
      <c r="H27" s="33"/>
      <c r="I27" s="33"/>
      <c r="J27" s="33"/>
      <c r="K27" s="33"/>
      <c r="L27" s="37"/>
      <c r="M27" s="37"/>
      <c r="N27" s="37"/>
      <c r="O27" s="37"/>
      <c r="U27" s="33"/>
      <c r="V27" s="33"/>
      <c r="W27" s="33"/>
      <c r="X27" s="33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</row>
    <row r="28" spans="2:76" s="4" customFormat="1" ht="12.75">
      <c r="B28" s="4" t="s">
        <v>107</v>
      </c>
      <c r="C28" s="4">
        <v>35000</v>
      </c>
      <c r="D28" s="4">
        <f>C28*1.6</f>
        <v>56000</v>
      </c>
      <c r="E28" s="4">
        <v>400</v>
      </c>
      <c r="F28" s="4">
        <f>2*250</f>
        <v>500</v>
      </c>
      <c r="G28" s="4">
        <f aca="true" t="shared" si="4" ref="G28:G33">E28*$U$1</f>
        <v>3219.9999999999995</v>
      </c>
      <c r="I28" s="37">
        <v>1</v>
      </c>
      <c r="J28" s="4">
        <f aca="true" t="shared" si="5" ref="J28:J33">I28*$J$1</f>
        <v>162.87062219999999</v>
      </c>
      <c r="K28" s="37">
        <f aca="true" t="shared" si="6" ref="K28:K33">(((E28)*$U$1)+J28)/D28</f>
        <v>0.060408403967857134</v>
      </c>
      <c r="L28" s="37"/>
      <c r="M28" s="37"/>
      <c r="N28" s="37"/>
      <c r="O28" s="37"/>
      <c r="U28" s="33"/>
      <c r="V28" s="33"/>
      <c r="W28" s="33"/>
      <c r="X28" s="33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</row>
    <row r="29" spans="2:76" s="4" customFormat="1" ht="12.75">
      <c r="B29" s="4" t="s">
        <v>108</v>
      </c>
      <c r="C29" s="4">
        <v>40000</v>
      </c>
      <c r="D29" s="4">
        <f>C29*1.6</f>
        <v>64000</v>
      </c>
      <c r="E29" s="4">
        <v>1800</v>
      </c>
      <c r="F29" s="4">
        <f>10*200</f>
        <v>2000</v>
      </c>
      <c r="G29" s="4">
        <f t="shared" si="4"/>
        <v>14489.999999999998</v>
      </c>
      <c r="I29" s="37">
        <v>3</v>
      </c>
      <c r="J29" s="4">
        <f t="shared" si="5"/>
        <v>488.6118666</v>
      </c>
      <c r="K29" s="37">
        <f t="shared" si="6"/>
        <v>0.23404081041562497</v>
      </c>
      <c r="L29" s="37"/>
      <c r="M29" s="37"/>
      <c r="N29" s="37"/>
      <c r="O29" s="37"/>
      <c r="U29" s="33"/>
      <c r="V29" s="33"/>
      <c r="W29" s="33"/>
      <c r="X29" s="33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</row>
    <row r="30" spans="1:76" s="24" customFormat="1" ht="12.75">
      <c r="A30" s="4"/>
      <c r="B30" s="4" t="s">
        <v>109</v>
      </c>
      <c r="C30" s="4">
        <v>100000</v>
      </c>
      <c r="D30" s="4">
        <f>C30*1.6</f>
        <v>160000</v>
      </c>
      <c r="E30" s="4">
        <v>312.5</v>
      </c>
      <c r="F30" s="4">
        <f>2*100</f>
        <v>200</v>
      </c>
      <c r="G30" s="4">
        <f t="shared" si="4"/>
        <v>2515.6249999999995</v>
      </c>
      <c r="H30" s="4"/>
      <c r="I30" s="37">
        <v>5</v>
      </c>
      <c r="J30" s="4">
        <f t="shared" si="5"/>
        <v>814.3531109999999</v>
      </c>
      <c r="K30" s="37">
        <f t="shared" si="6"/>
        <v>0.020812363193749996</v>
      </c>
      <c r="L30" s="37"/>
      <c r="M30" s="37"/>
      <c r="N30" s="37"/>
      <c r="O30" s="37"/>
      <c r="P30" s="4"/>
      <c r="Q30" s="4"/>
      <c r="R30" s="4"/>
      <c r="S30" s="4"/>
      <c r="T30" s="4"/>
      <c r="U30" s="33"/>
      <c r="V30" s="33"/>
      <c r="W30" s="33"/>
      <c r="X30" s="33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</row>
    <row r="31" spans="2:76" s="4" customFormat="1" ht="12.75">
      <c r="B31" s="4" t="s">
        <v>110</v>
      </c>
      <c r="C31" s="4">
        <v>40000</v>
      </c>
      <c r="D31" s="4">
        <f>C31*1.6</f>
        <v>64000</v>
      </c>
      <c r="E31" s="4">
        <v>78.125</v>
      </c>
      <c r="F31" s="4">
        <v>50</v>
      </c>
      <c r="G31" s="4">
        <f t="shared" si="4"/>
        <v>628.9062499999999</v>
      </c>
      <c r="I31" s="37">
        <v>2</v>
      </c>
      <c r="J31" s="4">
        <f t="shared" si="5"/>
        <v>325.74124439999997</v>
      </c>
      <c r="K31" s="37">
        <f t="shared" si="6"/>
        <v>0.0149163671</v>
      </c>
      <c r="L31" s="37"/>
      <c r="M31" s="37"/>
      <c r="N31" s="37"/>
      <c r="O31" s="37"/>
      <c r="U31" s="33"/>
      <c r="V31" s="33"/>
      <c r="W31" s="33"/>
      <c r="X31" s="33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</row>
    <row r="32" spans="2:76" s="4" customFormat="1" ht="12.75">
      <c r="B32" s="4" t="s">
        <v>111</v>
      </c>
      <c r="C32" s="4">
        <v>40000</v>
      </c>
      <c r="D32" s="4">
        <v>120000</v>
      </c>
      <c r="E32" s="4">
        <v>156.25</v>
      </c>
      <c r="F32" s="4">
        <v>100</v>
      </c>
      <c r="G32" s="4">
        <f t="shared" si="4"/>
        <v>1257.8124999999998</v>
      </c>
      <c r="I32" s="37">
        <v>2</v>
      </c>
      <c r="J32" s="4">
        <f t="shared" si="5"/>
        <v>325.74124439999997</v>
      </c>
      <c r="K32" s="37">
        <f t="shared" si="6"/>
        <v>0.01319628120333333</v>
      </c>
      <c r="L32" s="37"/>
      <c r="M32" s="37"/>
      <c r="N32" s="37"/>
      <c r="O32" s="37"/>
      <c r="U32" s="33"/>
      <c r="V32" s="33"/>
      <c r="W32" s="33"/>
      <c r="X32" s="33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</row>
    <row r="33" spans="2:76" s="4" customFormat="1" ht="12.75">
      <c r="B33" s="4" t="s">
        <v>112</v>
      </c>
      <c r="C33" s="4">
        <v>40000</v>
      </c>
      <c r="D33" s="4">
        <v>120000</v>
      </c>
      <c r="E33" s="4">
        <v>156.25</v>
      </c>
      <c r="F33" s="4">
        <v>100</v>
      </c>
      <c r="G33" s="4">
        <f t="shared" si="4"/>
        <v>1257.8124999999998</v>
      </c>
      <c r="I33" s="37">
        <v>3</v>
      </c>
      <c r="J33" s="4">
        <f t="shared" si="5"/>
        <v>488.6118666</v>
      </c>
      <c r="K33" s="37">
        <f t="shared" si="6"/>
        <v>0.014553536388333331</v>
      </c>
      <c r="L33" s="37"/>
      <c r="M33" s="37"/>
      <c r="N33" s="37"/>
      <c r="O33" s="37"/>
      <c r="U33" s="33"/>
      <c r="V33" s="33"/>
      <c r="W33" s="33"/>
      <c r="X33" s="33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</row>
    <row r="34" spans="2:76" s="4" customFormat="1" ht="12.75">
      <c r="B34" s="4" t="s">
        <v>113</v>
      </c>
      <c r="I34" s="37"/>
      <c r="K34" s="37"/>
      <c r="L34" s="37">
        <f>SUM(K28:K33)</f>
        <v>0.3579277622688988</v>
      </c>
      <c r="M34" s="37"/>
      <c r="N34" s="37"/>
      <c r="O34" s="37"/>
      <c r="U34" s="33"/>
      <c r="V34" s="33"/>
      <c r="W34" s="33"/>
      <c r="X34" s="33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</row>
    <row r="35" spans="2:76" s="4" customFormat="1" ht="12.75">
      <c r="B35" s="4" t="s">
        <v>64</v>
      </c>
      <c r="L35" s="37"/>
      <c r="M35" s="37"/>
      <c r="N35" s="37"/>
      <c r="O35" s="37"/>
      <c r="U35" s="33"/>
      <c r="V35" s="33"/>
      <c r="W35" s="33"/>
      <c r="X35" s="33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</row>
    <row r="36" spans="2:76" s="4" customFormat="1" ht="12.75">
      <c r="B36" s="4" t="s">
        <v>65</v>
      </c>
      <c r="C36" s="4">
        <v>200000</v>
      </c>
      <c r="D36" s="4">
        <v>400000</v>
      </c>
      <c r="E36" s="4">
        <v>546.875</v>
      </c>
      <c r="F36" s="4">
        <v>350</v>
      </c>
      <c r="G36" s="4">
        <f aca="true" t="shared" si="7" ref="G36:G43">E36*$U$1</f>
        <v>4402.343749999999</v>
      </c>
      <c r="I36" s="37">
        <v>4.5</v>
      </c>
      <c r="J36" s="4">
        <f aca="true" t="shared" si="8" ref="J36:J43">I36*$J$1</f>
        <v>732.9177999</v>
      </c>
      <c r="K36" s="37">
        <f aca="true" t="shared" si="9" ref="K36:K43">(((E36)*$U$1)+J36)/D36</f>
        <v>0.012838153874749998</v>
      </c>
      <c r="L36" s="37"/>
      <c r="M36" s="37"/>
      <c r="N36" s="37"/>
      <c r="O36" s="37"/>
      <c r="U36" s="33"/>
      <c r="V36" s="33"/>
      <c r="W36" s="33"/>
      <c r="X36" s="33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</row>
    <row r="37" spans="2:76" s="4" customFormat="1" ht="12.75">
      <c r="B37" s="4" t="s">
        <v>66</v>
      </c>
      <c r="C37" s="4">
        <v>100000</v>
      </c>
      <c r="D37" s="4">
        <f aca="true" t="shared" si="10" ref="D37:D43">C37*1.6</f>
        <v>160000</v>
      </c>
      <c r="E37" s="4">
        <v>234.375</v>
      </c>
      <c r="F37" s="4">
        <v>150</v>
      </c>
      <c r="G37" s="4">
        <f t="shared" si="7"/>
        <v>1886.7187499999998</v>
      </c>
      <c r="I37" s="37">
        <v>4</v>
      </c>
      <c r="J37" s="4">
        <f t="shared" si="8"/>
        <v>651.4824887999999</v>
      </c>
      <c r="K37" s="37">
        <f t="shared" si="9"/>
        <v>0.015863757742499998</v>
      </c>
      <c r="L37" s="37"/>
      <c r="M37" s="37"/>
      <c r="N37" s="37"/>
      <c r="O37" s="37"/>
      <c r="U37" s="33"/>
      <c r="V37" s="33"/>
      <c r="W37" s="33"/>
      <c r="X37" s="33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</row>
    <row r="38" spans="2:76" s="4" customFormat="1" ht="12.75">
      <c r="B38" s="4" t="s">
        <v>235</v>
      </c>
      <c r="C38" s="4">
        <v>80000</v>
      </c>
      <c r="D38" s="4">
        <f t="shared" si="10"/>
        <v>128000</v>
      </c>
      <c r="E38" s="4">
        <v>156.25</v>
      </c>
      <c r="F38" s="4">
        <v>100</v>
      </c>
      <c r="G38" s="4">
        <f t="shared" si="7"/>
        <v>1257.8124999999998</v>
      </c>
      <c r="I38" s="37">
        <v>1.5</v>
      </c>
      <c r="J38" s="4">
        <f t="shared" si="8"/>
        <v>244.3059333</v>
      </c>
      <c r="K38" s="37">
        <f t="shared" si="9"/>
        <v>0.011735300260156248</v>
      </c>
      <c r="L38" s="37"/>
      <c r="M38" s="37"/>
      <c r="N38" s="37"/>
      <c r="O38" s="37"/>
      <c r="U38" s="33"/>
      <c r="V38" s="33"/>
      <c r="W38" s="33"/>
      <c r="X38" s="33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</row>
    <row r="39" spans="2:76" s="4" customFormat="1" ht="12.75">
      <c r="B39" s="4" t="s">
        <v>67</v>
      </c>
      <c r="C39" s="4">
        <v>60000</v>
      </c>
      <c r="D39" s="4">
        <v>200000</v>
      </c>
      <c r="E39" s="4">
        <v>234.375</v>
      </c>
      <c r="F39" s="4">
        <v>150</v>
      </c>
      <c r="G39" s="4">
        <f t="shared" si="7"/>
        <v>1886.7187499999998</v>
      </c>
      <c r="I39" s="37">
        <v>1</v>
      </c>
      <c r="J39" s="4">
        <f t="shared" si="8"/>
        <v>162.87062219999999</v>
      </c>
      <c r="K39" s="37">
        <f t="shared" si="9"/>
        <v>0.010247946860999998</v>
      </c>
      <c r="L39" s="37"/>
      <c r="M39" s="37"/>
      <c r="N39" s="37"/>
      <c r="O39" s="37"/>
      <c r="U39" s="33"/>
      <c r="V39" s="33"/>
      <c r="W39" s="33"/>
      <c r="X39" s="33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</row>
    <row r="40" spans="2:76" s="4" customFormat="1" ht="12.75">
      <c r="B40" s="4" t="s">
        <v>68</v>
      </c>
      <c r="C40" s="4">
        <v>100000</v>
      </c>
      <c r="D40" s="4">
        <f t="shared" si="10"/>
        <v>160000</v>
      </c>
      <c r="E40" s="4">
        <v>312.5</v>
      </c>
      <c r="F40" s="4">
        <v>200</v>
      </c>
      <c r="G40" s="4">
        <f t="shared" si="7"/>
        <v>2515.6249999999995</v>
      </c>
      <c r="I40" s="37">
        <v>2</v>
      </c>
      <c r="J40" s="4">
        <f t="shared" si="8"/>
        <v>325.74124439999997</v>
      </c>
      <c r="K40" s="37">
        <f t="shared" si="9"/>
        <v>0.0177585390275</v>
      </c>
      <c r="L40" s="37"/>
      <c r="M40" s="37"/>
      <c r="N40" s="37"/>
      <c r="O40" s="37"/>
      <c r="U40" s="33"/>
      <c r="V40" s="33"/>
      <c r="W40" s="33"/>
      <c r="X40" s="33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</row>
    <row r="41" spans="2:76" s="4" customFormat="1" ht="12.75">
      <c r="B41" s="4" t="s">
        <v>69</v>
      </c>
      <c r="C41" s="4">
        <v>200000</v>
      </c>
      <c r="D41" s="4">
        <v>620000</v>
      </c>
      <c r="E41" s="4">
        <v>781.25</v>
      </c>
      <c r="F41" s="4">
        <v>500</v>
      </c>
      <c r="G41" s="4">
        <f t="shared" si="7"/>
        <v>6289.062499999999</v>
      </c>
      <c r="I41" s="37">
        <v>2</v>
      </c>
      <c r="J41" s="4">
        <f t="shared" si="8"/>
        <v>325.74124439999997</v>
      </c>
      <c r="K41" s="37">
        <f t="shared" si="9"/>
        <v>0.010669038297419354</v>
      </c>
      <c r="L41" s="37"/>
      <c r="M41" s="37"/>
      <c r="N41" s="37"/>
      <c r="O41" s="37"/>
      <c r="P41" s="24"/>
      <c r="Q41" s="24"/>
      <c r="R41" s="24"/>
      <c r="S41" s="24"/>
      <c r="T41" s="24"/>
      <c r="U41" s="33"/>
      <c r="V41" s="33"/>
      <c r="W41" s="33"/>
      <c r="X41" s="33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</row>
    <row r="42" spans="2:76" s="4" customFormat="1" ht="12.75">
      <c r="B42" s="4" t="s">
        <v>70</v>
      </c>
      <c r="C42" s="4">
        <v>160000</v>
      </c>
      <c r="D42" s="4">
        <v>350000</v>
      </c>
      <c r="E42" s="4">
        <v>468.75</v>
      </c>
      <c r="F42" s="4">
        <v>300</v>
      </c>
      <c r="G42" s="4">
        <f t="shared" si="7"/>
        <v>3773.4374999999995</v>
      </c>
      <c r="I42" s="37">
        <v>1.5</v>
      </c>
      <c r="J42" s="4">
        <f t="shared" si="8"/>
        <v>244.3059333</v>
      </c>
      <c r="K42" s="37">
        <f t="shared" si="9"/>
        <v>0.011479266952285714</v>
      </c>
      <c r="L42" s="37"/>
      <c r="M42" s="37"/>
      <c r="N42" s="37"/>
      <c r="O42" s="37"/>
      <c r="U42" s="33"/>
      <c r="V42" s="33"/>
      <c r="W42" s="33"/>
      <c r="X42" s="33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</row>
    <row r="43" spans="2:76" s="4" customFormat="1" ht="12.75">
      <c r="B43" s="4" t="s">
        <v>71</v>
      </c>
      <c r="C43" s="4">
        <v>40000</v>
      </c>
      <c r="D43" s="4">
        <f t="shared" si="10"/>
        <v>64000</v>
      </c>
      <c r="E43" s="4">
        <v>230</v>
      </c>
      <c r="F43" s="4">
        <v>300</v>
      </c>
      <c r="G43" s="4">
        <f t="shared" si="7"/>
        <v>1851.4999999999998</v>
      </c>
      <c r="H43" s="4">
        <f>4*140000</f>
        <v>560000</v>
      </c>
      <c r="I43" s="37">
        <v>1</v>
      </c>
      <c r="J43" s="4">
        <f t="shared" si="8"/>
        <v>162.87062219999999</v>
      </c>
      <c r="K43" s="37">
        <f t="shared" si="9"/>
        <v>0.031474540971875</v>
      </c>
      <c r="L43" s="37"/>
      <c r="M43" s="37"/>
      <c r="N43" s="37"/>
      <c r="O43" s="37"/>
      <c r="U43" s="33"/>
      <c r="V43" s="33"/>
      <c r="W43" s="33"/>
      <c r="X43" s="33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pans="2:76" s="4" customFormat="1" ht="12.75">
      <c r="B44" s="4" t="s">
        <v>72</v>
      </c>
      <c r="I44" s="37"/>
      <c r="K44" s="37"/>
      <c r="L44" s="37">
        <f>SUM(K36:K43)</f>
        <v>0.12206654398748631</v>
      </c>
      <c r="M44" s="37"/>
      <c r="N44" s="37"/>
      <c r="O44" s="37"/>
      <c r="P44" s="24"/>
      <c r="Q44" s="24"/>
      <c r="R44" s="24"/>
      <c r="S44" s="24"/>
      <c r="T44" s="24"/>
      <c r="U44" s="33"/>
      <c r="V44" s="33"/>
      <c r="W44" s="33"/>
      <c r="X44" s="33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</row>
    <row r="45" spans="2:76" s="4" customFormat="1" ht="12.75">
      <c r="B45" s="4" t="s">
        <v>73</v>
      </c>
      <c r="I45" s="37"/>
      <c r="K45" s="37"/>
      <c r="L45" s="37"/>
      <c r="M45" s="37"/>
      <c r="N45" s="37"/>
      <c r="O45" s="37"/>
      <c r="U45" s="33"/>
      <c r="V45" s="33"/>
      <c r="W45" s="33"/>
      <c r="X45" s="33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</row>
    <row r="46" spans="2:76" s="4" customFormat="1" ht="12.75">
      <c r="B46" s="4" t="s">
        <v>74</v>
      </c>
      <c r="C46" s="4">
        <v>30000</v>
      </c>
      <c r="D46" s="4">
        <v>50000</v>
      </c>
      <c r="E46" s="4">
        <v>117.1875</v>
      </c>
      <c r="F46" s="4">
        <v>75</v>
      </c>
      <c r="G46" s="4">
        <f>E46*$U$1</f>
        <v>943.3593749999999</v>
      </c>
      <c r="I46" s="37">
        <v>5</v>
      </c>
      <c r="J46" s="4">
        <f>I46*$J$1</f>
        <v>814.3531109999999</v>
      </c>
      <c r="K46" s="37">
        <f>(((E46)*$U$1)+J46)/D46</f>
        <v>0.035154249719999996</v>
      </c>
      <c r="L46" s="37"/>
      <c r="M46" s="37"/>
      <c r="N46" s="37"/>
      <c r="O46" s="37"/>
      <c r="U46" s="33"/>
      <c r="V46" s="33"/>
      <c r="W46" s="33"/>
      <c r="X46" s="33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</row>
    <row r="47" spans="2:76" s="4" customFormat="1" ht="12.75">
      <c r="B47" s="4" t="s">
        <v>75</v>
      </c>
      <c r="C47" s="4">
        <v>80000</v>
      </c>
      <c r="D47" s="4">
        <v>360000</v>
      </c>
      <c r="E47" s="4">
        <v>312.5</v>
      </c>
      <c r="F47" s="4">
        <v>200</v>
      </c>
      <c r="G47" s="4">
        <f>E47*$U$1</f>
        <v>2515.6249999999995</v>
      </c>
      <c r="I47" s="37">
        <v>11.5</v>
      </c>
      <c r="J47" s="4">
        <f>I47*$J$1</f>
        <v>1873.0121553</v>
      </c>
      <c r="K47" s="37">
        <f>(((E47)*$U$1)+J47)/D47</f>
        <v>0.01219065876472222</v>
      </c>
      <c r="L47" s="37"/>
      <c r="M47" s="37"/>
      <c r="N47" s="37"/>
      <c r="O47" s="37"/>
      <c r="P47" s="37"/>
      <c r="Q47" s="37"/>
      <c r="R47" s="37"/>
      <c r="S47" s="37"/>
      <c r="T47" s="37"/>
      <c r="U47" s="33"/>
      <c r="V47" s="33"/>
      <c r="W47" s="33"/>
      <c r="X47" s="33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</row>
    <row r="48" spans="2:76" s="4" customFormat="1" ht="12.75">
      <c r="B48" s="4" t="s">
        <v>76</v>
      </c>
      <c r="C48" s="4">
        <v>20000</v>
      </c>
      <c r="D48" s="4">
        <f>C48*1.6</f>
        <v>32000</v>
      </c>
      <c r="E48" s="4">
        <v>0</v>
      </c>
      <c r="F48" s="4">
        <v>0</v>
      </c>
      <c r="G48" s="4">
        <f>E48*$U$1</f>
        <v>0</v>
      </c>
      <c r="I48" s="37">
        <v>1</v>
      </c>
      <c r="J48" s="4">
        <f>I48*$J$1</f>
        <v>162.87062219999999</v>
      </c>
      <c r="K48" s="37">
        <f>(((E48)*$U$1)+J48)/D48</f>
        <v>0.005089706943749999</v>
      </c>
      <c r="L48" s="37"/>
      <c r="M48" s="37"/>
      <c r="N48" s="37"/>
      <c r="O48" s="37"/>
      <c r="P48" s="37"/>
      <c r="Q48" s="37"/>
      <c r="R48" s="37"/>
      <c r="S48" s="37"/>
      <c r="T48" s="37"/>
      <c r="U48" s="33"/>
      <c r="V48" s="33"/>
      <c r="W48" s="33"/>
      <c r="X48" s="33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</row>
    <row r="49" spans="2:76" s="4" customFormat="1" ht="12.75">
      <c r="B49" s="4" t="s">
        <v>77</v>
      </c>
      <c r="C49" s="4">
        <v>100000</v>
      </c>
      <c r="D49" s="4">
        <v>360000</v>
      </c>
      <c r="E49" s="4">
        <v>312.5</v>
      </c>
      <c r="F49" s="4">
        <v>200</v>
      </c>
      <c r="G49" s="4">
        <f>E49*$U$1</f>
        <v>2515.6249999999995</v>
      </c>
      <c r="I49" s="37">
        <v>1</v>
      </c>
      <c r="J49" s="4">
        <f>I49*$J$1</f>
        <v>162.87062219999999</v>
      </c>
      <c r="K49" s="37">
        <f>(((E49)*$U$1)+J49)/D49</f>
        <v>0.007440265617222221</v>
      </c>
      <c r="L49" s="37"/>
      <c r="M49" s="37"/>
      <c r="N49" s="37"/>
      <c r="O49" s="37"/>
      <c r="P49" s="37"/>
      <c r="Q49" s="37"/>
      <c r="R49" s="37"/>
      <c r="S49" s="37"/>
      <c r="T49" s="37"/>
      <c r="U49" s="33"/>
      <c r="V49" s="33"/>
      <c r="W49" s="33"/>
      <c r="X49" s="33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</row>
    <row r="50" spans="2:76" s="4" customFormat="1" ht="12.75">
      <c r="B50" s="4" t="s">
        <v>78</v>
      </c>
      <c r="C50" s="4">
        <v>100000</v>
      </c>
      <c r="D50" s="4">
        <f>C50*1.6</f>
        <v>160000</v>
      </c>
      <c r="E50" s="4">
        <v>312.5</v>
      </c>
      <c r="F50" s="4">
        <v>200</v>
      </c>
      <c r="G50" s="4">
        <f>E50*$U$1</f>
        <v>2515.6249999999995</v>
      </c>
      <c r="I50" s="37">
        <v>1</v>
      </c>
      <c r="J50" s="4">
        <f>I50*$J$1</f>
        <v>162.87062219999999</v>
      </c>
      <c r="K50" s="37">
        <f>(((E50)*$U$1)+J50)/D50</f>
        <v>0.016740597638749997</v>
      </c>
      <c r="L50" s="37"/>
      <c r="M50" s="37"/>
      <c r="N50" s="37"/>
      <c r="O50" s="37"/>
      <c r="P50" s="36"/>
      <c r="Q50" s="36"/>
      <c r="R50" s="36"/>
      <c r="S50" s="36"/>
      <c r="T50" s="36"/>
      <c r="U50" s="33"/>
      <c r="V50" s="33"/>
      <c r="W50" s="33"/>
      <c r="X50" s="33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</row>
    <row r="51" spans="2:76" s="4" customFormat="1" ht="12.75">
      <c r="B51" s="4" t="s">
        <v>79</v>
      </c>
      <c r="I51" s="37"/>
      <c r="K51" s="37"/>
      <c r="L51" s="37">
        <f>SUM(K46:K50)</f>
        <v>0.07661547868444443</v>
      </c>
      <c r="M51" s="37"/>
      <c r="N51" s="37"/>
      <c r="O51" s="37"/>
      <c r="P51" s="37"/>
      <c r="Q51" s="37"/>
      <c r="R51" s="37"/>
      <c r="S51" s="37"/>
      <c r="T51" s="37"/>
      <c r="U51" s="33"/>
      <c r="V51" s="33"/>
      <c r="W51" s="33"/>
      <c r="X51" s="33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</row>
    <row r="52" spans="2:76" s="4" customFormat="1" ht="12.75">
      <c r="B52" s="4" t="s">
        <v>80</v>
      </c>
      <c r="I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3"/>
      <c r="V52" s="33"/>
      <c r="W52" s="33"/>
      <c r="X52" s="33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</row>
    <row r="53" spans="2:76" s="4" customFormat="1" ht="12.75">
      <c r="B53" s="4" t="s">
        <v>81</v>
      </c>
      <c r="C53" s="4">
        <v>160000</v>
      </c>
      <c r="D53" s="4">
        <f>C53*1.6</f>
        <v>256000</v>
      </c>
      <c r="E53" s="4">
        <v>1562.5</v>
      </c>
      <c r="F53" s="4">
        <v>1000</v>
      </c>
      <c r="G53" s="4">
        <f>E53*$U$1</f>
        <v>12578.124999999998</v>
      </c>
      <c r="I53" s="37">
        <v>5</v>
      </c>
      <c r="J53" s="4">
        <f>I53*$J$1</f>
        <v>814.3531109999999</v>
      </c>
      <c r="K53" s="37">
        <f>(((E53)*$U$1)+J53)/D53</f>
        <v>0.052314367621093746</v>
      </c>
      <c r="L53" s="37"/>
      <c r="M53" s="37"/>
      <c r="N53" s="37"/>
      <c r="O53" s="37"/>
      <c r="P53" s="37"/>
      <c r="Q53" s="37"/>
      <c r="R53" s="37"/>
      <c r="S53" s="37"/>
      <c r="T53" s="37"/>
      <c r="U53" s="33"/>
      <c r="V53" s="33"/>
      <c r="W53" s="33"/>
      <c r="X53" s="33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</row>
    <row r="54" spans="2:76" s="4" customFormat="1" ht="12.75">
      <c r="B54" s="4" t="s">
        <v>82</v>
      </c>
      <c r="C54" s="4">
        <v>80000</v>
      </c>
      <c r="D54" s="4">
        <f>C54*1.6</f>
        <v>128000</v>
      </c>
      <c r="E54" s="4">
        <v>625</v>
      </c>
      <c r="F54" s="4">
        <v>400</v>
      </c>
      <c r="G54" s="4">
        <f>E54*$U$1</f>
        <v>5031.249999999999</v>
      </c>
      <c r="I54" s="37">
        <v>10</v>
      </c>
      <c r="J54" s="4">
        <f>I54*$J$1</f>
        <v>1628.7062219999998</v>
      </c>
      <c r="K54" s="37">
        <f>(((E54)*$U$1)+J54)/D54</f>
        <v>0.05203090798437499</v>
      </c>
      <c r="L54" s="37"/>
      <c r="M54" s="37"/>
      <c r="N54" s="37"/>
      <c r="O54" s="37"/>
      <c r="P54" s="37"/>
      <c r="Q54" s="37"/>
      <c r="R54" s="37"/>
      <c r="S54" s="37"/>
      <c r="T54" s="37"/>
      <c r="U54" s="33"/>
      <c r="V54" s="33"/>
      <c r="W54" s="33"/>
      <c r="X54" s="33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</row>
    <row r="55" spans="2:76" s="4" customFormat="1" ht="12.75">
      <c r="B55" s="4" t="s">
        <v>83</v>
      </c>
      <c r="I55" s="37"/>
      <c r="K55" s="37"/>
      <c r="L55" s="37">
        <f>SUM(K53:K54)</f>
        <v>0.10434527560546875</v>
      </c>
      <c r="M55" s="37"/>
      <c r="N55" s="37"/>
      <c r="O55" s="37"/>
      <c r="P55" s="37"/>
      <c r="Q55" s="37"/>
      <c r="R55" s="37"/>
      <c r="S55" s="37"/>
      <c r="T55" s="37"/>
      <c r="U55" s="33"/>
      <c r="V55" s="33"/>
      <c r="W55" s="33"/>
      <c r="X55" s="33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</row>
    <row r="56" spans="2:76" s="4" customFormat="1" ht="12.75">
      <c r="B56" s="4" t="s">
        <v>84</v>
      </c>
      <c r="I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3"/>
      <c r="V56" s="33"/>
      <c r="W56" s="33"/>
      <c r="X56" s="33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</row>
    <row r="57" spans="2:76" s="4" customFormat="1" ht="12.75">
      <c r="B57" s="4" t="s">
        <v>85</v>
      </c>
      <c r="C57" s="4">
        <v>200000</v>
      </c>
      <c r="D57" s="4">
        <v>600000</v>
      </c>
      <c r="E57" s="4">
        <v>1171.875</v>
      </c>
      <c r="F57" s="4">
        <v>750</v>
      </c>
      <c r="G57" s="4">
        <f aca="true" t="shared" si="11" ref="G57:G64">E57*$U$1</f>
        <v>9433.593749999998</v>
      </c>
      <c r="I57" s="37">
        <v>7</v>
      </c>
      <c r="J57" s="4">
        <f aca="true" t="shared" si="12" ref="J57:J64">I57*$J$1</f>
        <v>1140.0943553999998</v>
      </c>
      <c r="K57" s="37">
        <f aca="true" t="shared" si="13" ref="K57:K64">(((E57)*$U$1)+J57)/D57</f>
        <v>0.017622813509</v>
      </c>
      <c r="L57" s="37"/>
      <c r="M57" s="37"/>
      <c r="N57" s="37"/>
      <c r="O57" s="37"/>
      <c r="P57" s="37"/>
      <c r="Q57" s="37"/>
      <c r="R57" s="37"/>
      <c r="S57" s="37"/>
      <c r="T57" s="37"/>
      <c r="U57" s="33"/>
      <c r="V57" s="33"/>
      <c r="W57" s="33"/>
      <c r="X57" s="33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</row>
    <row r="58" spans="2:76" s="4" customFormat="1" ht="12.75">
      <c r="B58" s="4" t="s">
        <v>86</v>
      </c>
      <c r="C58" s="4">
        <v>120000</v>
      </c>
      <c r="D58" s="4">
        <v>300000</v>
      </c>
      <c r="E58" s="4">
        <v>156.25</v>
      </c>
      <c r="F58" s="4">
        <v>100</v>
      </c>
      <c r="G58" s="4">
        <f t="shared" si="11"/>
        <v>1257.8124999999998</v>
      </c>
      <c r="I58" s="37">
        <v>6</v>
      </c>
      <c r="J58" s="4">
        <f t="shared" si="12"/>
        <v>977.2237332</v>
      </c>
      <c r="K58" s="37">
        <f t="shared" si="13"/>
        <v>0.0074501207773333316</v>
      </c>
      <c r="L58" s="37"/>
      <c r="M58" s="37"/>
      <c r="N58" s="37"/>
      <c r="O58" s="37"/>
      <c r="P58" s="37"/>
      <c r="Q58" s="37"/>
      <c r="R58" s="37"/>
      <c r="S58" s="37"/>
      <c r="T58" s="37"/>
      <c r="U58" s="33"/>
      <c r="V58" s="33"/>
      <c r="W58" s="33"/>
      <c r="X58" s="33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</row>
    <row r="59" spans="2:76" s="4" customFormat="1" ht="12.75">
      <c r="B59" s="4" t="s">
        <v>87</v>
      </c>
      <c r="C59" s="4">
        <v>120000</v>
      </c>
      <c r="D59" s="4">
        <v>350000</v>
      </c>
      <c r="E59" s="4">
        <v>781.25</v>
      </c>
      <c r="F59" s="4">
        <v>500</v>
      </c>
      <c r="G59" s="4">
        <f t="shared" si="11"/>
        <v>6289.062499999999</v>
      </c>
      <c r="I59" s="37">
        <v>8</v>
      </c>
      <c r="J59" s="4">
        <f t="shared" si="12"/>
        <v>1302.9649775999999</v>
      </c>
      <c r="K59" s="37">
        <f t="shared" si="13"/>
        <v>0.02169150707885714</v>
      </c>
      <c r="L59" s="37"/>
      <c r="M59" s="37"/>
      <c r="N59" s="37"/>
      <c r="O59" s="37"/>
      <c r="P59" s="37"/>
      <c r="Q59" s="37"/>
      <c r="R59" s="37"/>
      <c r="S59" s="37"/>
      <c r="T59" s="37"/>
      <c r="U59" s="33"/>
      <c r="V59" s="33"/>
      <c r="W59" s="33"/>
      <c r="X59" s="33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</row>
    <row r="60" spans="2:76" s="4" customFormat="1" ht="12.75">
      <c r="B60" s="4" t="s">
        <v>88</v>
      </c>
      <c r="C60" s="4">
        <v>250000</v>
      </c>
      <c r="D60" s="4">
        <f>C60*1.6</f>
        <v>400000</v>
      </c>
      <c r="E60" s="4">
        <v>1562.5</v>
      </c>
      <c r="F60" s="4">
        <v>1000</v>
      </c>
      <c r="G60" s="4">
        <f t="shared" si="11"/>
        <v>12578.124999999998</v>
      </c>
      <c r="I60" s="37">
        <v>25</v>
      </c>
      <c r="J60" s="4">
        <f t="shared" si="12"/>
        <v>4071.7655549999995</v>
      </c>
      <c r="K60" s="37">
        <f t="shared" si="13"/>
        <v>0.0416247263875</v>
      </c>
      <c r="L60" s="37"/>
      <c r="M60" s="37"/>
      <c r="N60" s="37"/>
      <c r="O60" s="37"/>
      <c r="P60" s="36"/>
      <c r="Q60" s="36"/>
      <c r="R60" s="36"/>
      <c r="S60" s="36"/>
      <c r="T60" s="36"/>
      <c r="U60" s="33"/>
      <c r="V60" s="33"/>
      <c r="W60" s="33"/>
      <c r="X60" s="33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</row>
    <row r="61" spans="2:76" s="4" customFormat="1" ht="12.75">
      <c r="B61" s="4" t="s">
        <v>89</v>
      </c>
      <c r="C61" s="4">
        <v>200000</v>
      </c>
      <c r="D61" s="4">
        <f>C61*1.6</f>
        <v>320000</v>
      </c>
      <c r="E61" s="4">
        <v>1562.5</v>
      </c>
      <c r="F61" s="4">
        <v>1000</v>
      </c>
      <c r="G61" s="4">
        <f t="shared" si="11"/>
        <v>12578.124999999998</v>
      </c>
      <c r="I61" s="37">
        <v>14</v>
      </c>
      <c r="J61" s="4">
        <f t="shared" si="12"/>
        <v>2280.1887107999996</v>
      </c>
      <c r="K61" s="37">
        <f t="shared" si="13"/>
        <v>0.04643223034624999</v>
      </c>
      <c r="L61" s="37"/>
      <c r="M61" s="37"/>
      <c r="N61" s="37"/>
      <c r="O61" s="37"/>
      <c r="P61" s="37"/>
      <c r="Q61" s="37"/>
      <c r="R61" s="37"/>
      <c r="S61" s="37"/>
      <c r="T61" s="37"/>
      <c r="U61" s="33"/>
      <c r="V61" s="33"/>
      <c r="W61" s="33"/>
      <c r="X61" s="33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</row>
    <row r="62" spans="2:76" s="4" customFormat="1" ht="12.75">
      <c r="B62" s="4" t="s">
        <v>90</v>
      </c>
      <c r="C62" s="4">
        <v>160000</v>
      </c>
      <c r="D62" s="4">
        <f>C62*1.6</f>
        <v>256000</v>
      </c>
      <c r="E62" s="4">
        <v>468.75</v>
      </c>
      <c r="F62" s="4">
        <v>300</v>
      </c>
      <c r="G62" s="4">
        <f t="shared" si="11"/>
        <v>3773.4374999999995</v>
      </c>
      <c r="I62" s="37">
        <v>2</v>
      </c>
      <c r="J62" s="4">
        <f t="shared" si="12"/>
        <v>325.74124439999997</v>
      </c>
      <c r="K62" s="37">
        <f t="shared" si="13"/>
        <v>0.0160124169703125</v>
      </c>
      <c r="L62" s="37"/>
      <c r="M62" s="37"/>
      <c r="N62" s="37"/>
      <c r="O62" s="37"/>
      <c r="P62" s="37"/>
      <c r="Q62" s="37"/>
      <c r="R62" s="37"/>
      <c r="S62" s="37"/>
      <c r="T62" s="37"/>
      <c r="U62" s="33"/>
      <c r="V62" s="33"/>
      <c r="W62" s="33"/>
      <c r="X62" s="33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</row>
    <row r="63" spans="2:76" s="4" customFormat="1" ht="12.75">
      <c r="B63" s="4" t="s">
        <v>91</v>
      </c>
      <c r="C63" s="4">
        <v>150000</v>
      </c>
      <c r="D63" s="4">
        <v>600000</v>
      </c>
      <c r="E63" s="4">
        <v>312.5</v>
      </c>
      <c r="F63" s="4">
        <v>200</v>
      </c>
      <c r="G63" s="4">
        <f t="shared" si="11"/>
        <v>2515.6249999999995</v>
      </c>
      <c r="I63" s="37">
        <v>2</v>
      </c>
      <c r="J63" s="4">
        <f t="shared" si="12"/>
        <v>325.74124439999997</v>
      </c>
      <c r="K63" s="37">
        <f t="shared" si="13"/>
        <v>0.004735610407333333</v>
      </c>
      <c r="L63" s="37"/>
      <c r="M63" s="37"/>
      <c r="N63" s="37"/>
      <c r="O63" s="37"/>
      <c r="P63" s="37"/>
      <c r="Q63" s="37"/>
      <c r="R63" s="37"/>
      <c r="S63" s="37"/>
      <c r="T63" s="37"/>
      <c r="U63" s="33"/>
      <c r="V63" s="33"/>
      <c r="W63" s="33"/>
      <c r="X63" s="33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</row>
    <row r="64" spans="2:76" s="4" customFormat="1" ht="12.75">
      <c r="B64" s="4" t="s">
        <v>92</v>
      </c>
      <c r="C64" s="4">
        <v>250000</v>
      </c>
      <c r="D64" s="4">
        <v>600000</v>
      </c>
      <c r="E64" s="4">
        <v>937.5</v>
      </c>
      <c r="F64" s="4">
        <v>600</v>
      </c>
      <c r="G64" s="4">
        <f t="shared" si="11"/>
        <v>7546.874999999999</v>
      </c>
      <c r="I64" s="37">
        <v>6</v>
      </c>
      <c r="J64" s="4">
        <f t="shared" si="12"/>
        <v>977.2237332</v>
      </c>
      <c r="K64" s="37">
        <f t="shared" si="13"/>
        <v>0.014206831221999998</v>
      </c>
      <c r="L64" s="37"/>
      <c r="M64" s="37"/>
      <c r="N64" s="37"/>
      <c r="O64" s="37"/>
      <c r="P64" s="36"/>
      <c r="Q64" s="36"/>
      <c r="R64" s="36"/>
      <c r="S64" s="36"/>
      <c r="T64" s="36"/>
      <c r="U64" s="33"/>
      <c r="V64" s="33"/>
      <c r="W64" s="33"/>
      <c r="X64" s="33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</row>
    <row r="65" spans="2:76" s="4" customFormat="1" ht="12.75">
      <c r="B65" s="4" t="s">
        <v>93</v>
      </c>
      <c r="I65" s="37"/>
      <c r="K65" s="37"/>
      <c r="L65" s="37">
        <f>SUM(K57:K64)</f>
        <v>0.1697762566985863</v>
      </c>
      <c r="M65" s="37"/>
      <c r="N65" s="37"/>
      <c r="O65" s="37"/>
      <c r="P65" s="37"/>
      <c r="Q65" s="37"/>
      <c r="R65" s="37"/>
      <c r="S65" s="37"/>
      <c r="T65" s="37"/>
      <c r="U65" s="33"/>
      <c r="V65" s="33"/>
      <c r="W65" s="33"/>
      <c r="X65" s="33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</row>
    <row r="66" spans="2:76" s="4" customFormat="1" ht="12.75">
      <c r="B66" s="4" t="s">
        <v>121</v>
      </c>
      <c r="I66" s="37"/>
      <c r="K66" s="37"/>
      <c r="L66" s="37"/>
      <c r="M66" s="37"/>
      <c r="N66" s="37"/>
      <c r="O66" s="37"/>
      <c r="U66" s="33"/>
      <c r="V66" s="33"/>
      <c r="W66" s="33"/>
      <c r="X66" s="33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</row>
    <row r="67" spans="2:76" s="4" customFormat="1" ht="12.75">
      <c r="B67" s="4" t="s">
        <v>122</v>
      </c>
      <c r="C67" s="4">
        <v>60000</v>
      </c>
      <c r="D67" s="4">
        <f>C67*1.6</f>
        <v>96000</v>
      </c>
      <c r="E67" s="4">
        <v>156.25</v>
      </c>
      <c r="F67" s="4">
        <v>100</v>
      </c>
      <c r="G67" s="4">
        <f>E67*$U$1</f>
        <v>1257.8124999999998</v>
      </c>
      <c r="I67" s="37">
        <v>2</v>
      </c>
      <c r="J67" s="4">
        <f>I67*$J$1</f>
        <v>325.74124439999997</v>
      </c>
      <c r="K67" s="37">
        <f>(((E67)*$U$1)+J67)/D67</f>
        <v>0.016495351504166665</v>
      </c>
      <c r="L67" s="37"/>
      <c r="M67" s="37"/>
      <c r="N67" s="37"/>
      <c r="O67" s="37"/>
      <c r="U67" s="33"/>
      <c r="V67" s="33"/>
      <c r="W67" s="33"/>
      <c r="X67" s="33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</row>
    <row r="68" spans="2:76" s="4" customFormat="1" ht="12.75">
      <c r="B68" s="4" t="s">
        <v>123</v>
      </c>
      <c r="C68" s="4">
        <v>60000</v>
      </c>
      <c r="D68" s="4">
        <f>C68*1.6</f>
        <v>96000</v>
      </c>
      <c r="E68" s="4">
        <v>78.125</v>
      </c>
      <c r="F68" s="4">
        <v>50</v>
      </c>
      <c r="G68" s="4">
        <f>E68*$U$1</f>
        <v>628.9062499999999</v>
      </c>
      <c r="I68" s="37">
        <v>1</v>
      </c>
      <c r="J68" s="4">
        <f>I68*$J$1</f>
        <v>162.87062219999999</v>
      </c>
      <c r="K68" s="37">
        <f>(((E68)*$U$1)+J68)/D68</f>
        <v>0.008247675752083333</v>
      </c>
      <c r="L68" s="37"/>
      <c r="M68" s="37"/>
      <c r="N68" s="37"/>
      <c r="O68" s="37"/>
      <c r="U68" s="33"/>
      <c r="V68" s="33"/>
      <c r="W68" s="33"/>
      <c r="X68" s="33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</row>
    <row r="69" spans="2:76" s="4" customFormat="1" ht="12.75">
      <c r="B69" s="4" t="s">
        <v>124</v>
      </c>
      <c r="C69" s="4">
        <v>80000</v>
      </c>
      <c r="D69" s="4">
        <f>C69*1.6</f>
        <v>128000</v>
      </c>
      <c r="E69" s="4">
        <v>156.25</v>
      </c>
      <c r="F69" s="4">
        <v>100</v>
      </c>
      <c r="G69" s="4">
        <f>E69*$U$1</f>
        <v>1257.8124999999998</v>
      </c>
      <c r="I69" s="37">
        <v>2</v>
      </c>
      <c r="J69" s="4">
        <f>I69*$J$1</f>
        <v>325.74124439999997</v>
      </c>
      <c r="K69" s="37">
        <f>(((E69)*$U$1)+J69)/D69</f>
        <v>0.012371513628124997</v>
      </c>
      <c r="L69" s="37"/>
      <c r="M69" s="37"/>
      <c r="N69" s="37"/>
      <c r="O69" s="37"/>
      <c r="U69" s="33"/>
      <c r="V69" s="33"/>
      <c r="W69" s="33"/>
      <c r="X69" s="33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</row>
    <row r="70" spans="2:76" s="4" customFormat="1" ht="12.75">
      <c r="B70" s="4" t="s">
        <v>125</v>
      </c>
      <c r="L70" s="37">
        <f>SUM(K67:K69)</f>
        <v>0.03711454088437499</v>
      </c>
      <c r="M70" s="37"/>
      <c r="N70" s="37"/>
      <c r="O70" s="37"/>
      <c r="U70" s="33"/>
      <c r="V70" s="33"/>
      <c r="W70" s="33"/>
      <c r="X70" s="33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</row>
    <row r="71" spans="2:76" s="4" customFormat="1" ht="12.75">
      <c r="B71" s="4" t="s">
        <v>126</v>
      </c>
      <c r="L71" s="37"/>
      <c r="M71" s="37"/>
      <c r="N71" s="37"/>
      <c r="O71" s="37"/>
      <c r="U71" s="33"/>
      <c r="V71" s="33"/>
      <c r="W71" s="33"/>
      <c r="X71" s="33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</row>
    <row r="72" spans="2:76" s="4" customFormat="1" ht="12.75">
      <c r="B72" s="4" t="s">
        <v>127</v>
      </c>
      <c r="C72" s="4">
        <v>100000</v>
      </c>
      <c r="D72" s="4">
        <f>C72*1.6</f>
        <v>160000</v>
      </c>
      <c r="E72" s="4">
        <v>625</v>
      </c>
      <c r="F72" s="4">
        <v>400</v>
      </c>
      <c r="G72" s="4">
        <f>E72*$U$1</f>
        <v>5031.249999999999</v>
      </c>
      <c r="I72" s="37"/>
      <c r="J72" s="4">
        <f>I72*$J$1</f>
        <v>0</v>
      </c>
      <c r="K72" s="37">
        <v>0</v>
      </c>
      <c r="L72" s="37"/>
      <c r="M72" s="37"/>
      <c r="N72" s="37"/>
      <c r="O72" s="37"/>
      <c r="U72" s="33"/>
      <c r="V72" s="33"/>
      <c r="W72" s="33"/>
      <c r="X72" s="33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</row>
    <row r="73" spans="2:76" s="4" customFormat="1" ht="12.75">
      <c r="B73" s="4" t="s">
        <v>128</v>
      </c>
      <c r="I73" s="37"/>
      <c r="K73" s="37"/>
      <c r="L73" s="37">
        <f>SUM(K72:K72)</f>
        <v>0</v>
      </c>
      <c r="M73" s="37"/>
      <c r="N73" s="37"/>
      <c r="O73" s="37"/>
      <c r="U73" s="33"/>
      <c r="V73" s="33"/>
      <c r="W73" s="33"/>
      <c r="X73" s="33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</row>
    <row r="74" spans="2:76" s="4" customFormat="1" ht="12.75" hidden="1">
      <c r="B74" s="4" t="s">
        <v>129</v>
      </c>
      <c r="I74" s="37"/>
      <c r="K74" s="37"/>
      <c r="L74" s="37"/>
      <c r="M74" s="37"/>
      <c r="N74" s="37"/>
      <c r="O74" s="37"/>
      <c r="U74" s="33"/>
      <c r="V74" s="33"/>
      <c r="W74" s="33"/>
      <c r="X74" s="33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</row>
    <row r="75" spans="2:76" s="4" customFormat="1" ht="12.75" hidden="1">
      <c r="B75" s="4" t="s">
        <v>130</v>
      </c>
      <c r="D75" s="37">
        <v>2</v>
      </c>
      <c r="I75" s="37"/>
      <c r="J75" s="4">
        <v>0</v>
      </c>
      <c r="K75" s="37">
        <f>(((E75)*$U$1)+J75)/D75</f>
        <v>0</v>
      </c>
      <c r="L75" s="37"/>
      <c r="M75" s="37"/>
      <c r="N75" s="37"/>
      <c r="O75" s="37"/>
      <c r="U75" s="33"/>
      <c r="V75" s="33"/>
      <c r="W75" s="33"/>
      <c r="X75" s="33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</row>
    <row r="76" spans="2:76" s="4" customFormat="1" ht="12.75" hidden="1">
      <c r="B76" s="4" t="s">
        <v>131</v>
      </c>
      <c r="L76" s="37">
        <f>K75</f>
        <v>0</v>
      </c>
      <c r="M76" s="37"/>
      <c r="N76" s="37"/>
      <c r="O76" s="37"/>
      <c r="U76" s="33"/>
      <c r="V76" s="33"/>
      <c r="W76" s="33"/>
      <c r="X76" s="33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</row>
    <row r="77" spans="2:76" s="4" customFormat="1" ht="12.75">
      <c r="B77" s="24" t="s">
        <v>132</v>
      </c>
      <c r="C77" s="24"/>
      <c r="D77" s="24"/>
      <c r="E77" s="24"/>
      <c r="F77" s="24"/>
      <c r="G77" s="24"/>
      <c r="H77" s="24"/>
      <c r="I77" s="24"/>
      <c r="J77" s="24"/>
      <c r="K77" s="24"/>
      <c r="L77" s="36">
        <f>SUM(L7:L76)</f>
        <v>1.4565490615115322</v>
      </c>
      <c r="N77" s="36"/>
      <c r="O77" s="36"/>
      <c r="U77" s="33"/>
      <c r="V77" s="33"/>
      <c r="W77" s="33"/>
      <c r="X77" s="33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</row>
    <row r="78" spans="12:76" s="4" customFormat="1" ht="12.75">
      <c r="L78" s="37"/>
      <c r="M78" s="37"/>
      <c r="N78" s="37"/>
      <c r="O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</row>
    <row r="79" spans="12:76" s="4" customFormat="1" ht="12.75">
      <c r="L79" s="37"/>
      <c r="M79" s="37"/>
      <c r="N79" s="37"/>
      <c r="O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</row>
    <row r="80" spans="2:76" s="4" customFormat="1" ht="12.75">
      <c r="B80" s="24" t="s">
        <v>133</v>
      </c>
      <c r="L80" s="37"/>
      <c r="M80" s="37"/>
      <c r="N80" s="37"/>
      <c r="O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</row>
    <row r="81" spans="2:15" s="4" customFormat="1" ht="12.75">
      <c r="B81" s="4" t="s">
        <v>106</v>
      </c>
      <c r="C81" s="33"/>
      <c r="D81" s="33"/>
      <c r="E81" s="33"/>
      <c r="F81" s="33"/>
      <c r="G81" s="33"/>
      <c r="H81" s="33"/>
      <c r="I81" s="33"/>
      <c r="J81" s="33"/>
      <c r="K81" s="33"/>
      <c r="L81" s="37"/>
      <c r="M81" s="37"/>
      <c r="N81" s="37"/>
      <c r="O81" s="37"/>
    </row>
    <row r="82" spans="2:15" s="4" customFormat="1" ht="12.75">
      <c r="B82" s="4" t="s">
        <v>140</v>
      </c>
      <c r="C82" s="4">
        <v>45000</v>
      </c>
      <c r="D82" s="4">
        <v>100000</v>
      </c>
      <c r="E82" s="4">
        <v>200</v>
      </c>
      <c r="F82" s="4">
        <f>8*200</f>
        <v>1600</v>
      </c>
      <c r="G82" s="4">
        <f>E82*$U$1</f>
        <v>1609.9999999999998</v>
      </c>
      <c r="I82" s="37">
        <v>3</v>
      </c>
      <c r="J82" s="4">
        <f>I82*$J$1</f>
        <v>488.6118666</v>
      </c>
      <c r="K82" s="37">
        <f>(((E82)*$U$1)+J82)/D82</f>
        <v>0.020986118665999996</v>
      </c>
      <c r="L82" s="37"/>
      <c r="M82" s="37"/>
      <c r="N82" s="37"/>
      <c r="O82" s="37"/>
    </row>
    <row r="83" spans="2:27" s="4" customFormat="1" ht="12.75">
      <c r="B83" s="4" t="s">
        <v>109</v>
      </c>
      <c r="C83" s="4">
        <v>100000</v>
      </c>
      <c r="D83" s="4">
        <f>C83*1.6</f>
        <v>160000</v>
      </c>
      <c r="E83" s="4">
        <v>312.5</v>
      </c>
      <c r="F83" s="4">
        <f>2*100</f>
        <v>200</v>
      </c>
      <c r="G83" s="4">
        <f>E83*$U$1</f>
        <v>2515.6249999999995</v>
      </c>
      <c r="I83" s="37">
        <v>5</v>
      </c>
      <c r="J83" s="4">
        <f>I83*$J$1</f>
        <v>814.3531109999999</v>
      </c>
      <c r="K83" s="37">
        <f>(((E83)*$U$1)+J83)/D83</f>
        <v>0.020812363193749996</v>
      </c>
      <c r="L83" s="37"/>
      <c r="M83" s="37"/>
      <c r="N83" s="37"/>
      <c r="O83" s="37"/>
      <c r="AA83" s="37"/>
    </row>
    <row r="84" spans="2:15" s="4" customFormat="1" ht="12.75">
      <c r="B84" s="4" t="s">
        <v>110</v>
      </c>
      <c r="C84" s="4">
        <v>40000</v>
      </c>
      <c r="D84" s="4">
        <f>C84*1.6</f>
        <v>64000</v>
      </c>
      <c r="E84" s="4">
        <v>78.125</v>
      </c>
      <c r="F84" s="4">
        <v>50</v>
      </c>
      <c r="G84" s="4">
        <f>E84*$U$1</f>
        <v>628.9062499999999</v>
      </c>
      <c r="I84" s="37">
        <v>2</v>
      </c>
      <c r="J84" s="4">
        <f>I84*$J$1</f>
        <v>325.74124439999997</v>
      </c>
      <c r="K84" s="37">
        <f>(((E84)*$U$1)+J84)/D84</f>
        <v>0.0149163671</v>
      </c>
      <c r="L84" s="37"/>
      <c r="M84" s="37"/>
      <c r="O84" s="37"/>
    </row>
    <row r="85" spans="2:15" s="4" customFormat="1" ht="12.75">
      <c r="B85" s="4" t="s">
        <v>111</v>
      </c>
      <c r="C85" s="4">
        <v>40000</v>
      </c>
      <c r="D85" s="4">
        <f>C85*1.6</f>
        <v>64000</v>
      </c>
      <c r="E85" s="4">
        <v>78.125</v>
      </c>
      <c r="F85" s="4">
        <v>50</v>
      </c>
      <c r="G85" s="4">
        <f>E85*$U$1</f>
        <v>628.9062499999999</v>
      </c>
      <c r="I85" s="37">
        <v>2</v>
      </c>
      <c r="J85" s="4">
        <f>I85*$J$1</f>
        <v>325.74124439999997</v>
      </c>
      <c r="K85" s="37">
        <f>(((E85)*$U$1)+J85)/D85</f>
        <v>0.0149163671</v>
      </c>
      <c r="L85" s="37"/>
      <c r="M85" s="37"/>
      <c r="N85" s="37"/>
      <c r="O85" s="37"/>
    </row>
    <row r="86" spans="2:15" s="4" customFormat="1" ht="12.75">
      <c r="B86" s="4" t="s">
        <v>112</v>
      </c>
      <c r="C86" s="4">
        <v>40000</v>
      </c>
      <c r="D86" s="4">
        <f>C86*1.6</f>
        <v>64000</v>
      </c>
      <c r="E86" s="4">
        <v>78.125</v>
      </c>
      <c r="F86" s="4">
        <v>50</v>
      </c>
      <c r="G86" s="4">
        <f>E86*$U$1</f>
        <v>628.9062499999999</v>
      </c>
      <c r="I86" s="37">
        <v>3</v>
      </c>
      <c r="J86" s="4">
        <f>I86*$J$1</f>
        <v>488.6118666</v>
      </c>
      <c r="K86" s="37">
        <f>(((E86)*$U$1)+J86)/D86</f>
        <v>0.017461220571874995</v>
      </c>
      <c r="L86" s="37"/>
      <c r="M86" s="37"/>
      <c r="N86" s="37"/>
      <c r="O86" s="37"/>
    </row>
    <row r="87" spans="2:15" s="4" customFormat="1" ht="12.75">
      <c r="B87" s="4" t="s">
        <v>113</v>
      </c>
      <c r="I87" s="37"/>
      <c r="K87" s="37"/>
      <c r="L87" s="37">
        <f>SUM(K82:K86)</f>
        <v>0.08909243663162499</v>
      </c>
      <c r="M87" s="37"/>
      <c r="N87" s="37"/>
      <c r="O87" s="37"/>
    </row>
    <row r="88" spans="2:15" s="4" customFormat="1" ht="12.75">
      <c r="B88" s="4" t="s">
        <v>141</v>
      </c>
      <c r="L88" s="37"/>
      <c r="M88" s="37"/>
      <c r="N88" s="37"/>
      <c r="O88" s="37"/>
    </row>
    <row r="89" spans="2:15" s="4" customFormat="1" ht="12.75">
      <c r="B89" s="4" t="s">
        <v>142</v>
      </c>
      <c r="C89" s="4">
        <v>160000</v>
      </c>
      <c r="D89" s="4">
        <f>C89*1.6</f>
        <v>256000</v>
      </c>
      <c r="E89" s="4">
        <v>1093.75</v>
      </c>
      <c r="F89" s="4">
        <v>700</v>
      </c>
      <c r="G89" s="4">
        <f>E89*$U$1</f>
        <v>8804.687499999998</v>
      </c>
      <c r="I89" s="37">
        <v>2</v>
      </c>
      <c r="J89" s="4">
        <f>I89*$J$1</f>
        <v>325.74124439999997</v>
      </c>
      <c r="K89" s="37">
        <f>(((E89)*$U$1)+J89)/D89</f>
        <v>0.03566573728281249</v>
      </c>
      <c r="L89" s="37"/>
      <c r="M89" s="37"/>
      <c r="N89" s="37"/>
      <c r="O89" s="37"/>
    </row>
    <row r="90" spans="2:15" s="4" customFormat="1" ht="12.75">
      <c r="B90" s="4" t="s">
        <v>143</v>
      </c>
      <c r="C90" s="4">
        <v>100000</v>
      </c>
      <c r="D90" s="4">
        <f>C90*1.6</f>
        <v>160000</v>
      </c>
      <c r="E90" s="4">
        <v>781.25</v>
      </c>
      <c r="F90" s="4">
        <v>500</v>
      </c>
      <c r="G90" s="4">
        <f>E90*$U$1</f>
        <v>6289.062499999999</v>
      </c>
      <c r="I90" s="37"/>
      <c r="J90" s="4">
        <f>I90*$J$1</f>
        <v>0</v>
      </c>
      <c r="K90" s="37">
        <f>(((E90)*$U$1)+J90)/D90</f>
        <v>0.03930664062499999</v>
      </c>
      <c r="L90" s="37"/>
      <c r="M90" s="37"/>
      <c r="N90" s="37"/>
      <c r="O90" s="37"/>
    </row>
    <row r="91" spans="2:15" s="4" customFormat="1" ht="12.75">
      <c r="B91" s="4" t="s">
        <v>144</v>
      </c>
      <c r="C91" s="4">
        <v>150000</v>
      </c>
      <c r="D91" s="4">
        <f>C91*1.6</f>
        <v>240000</v>
      </c>
      <c r="E91" s="4">
        <v>312.5</v>
      </c>
      <c r="F91" s="4">
        <v>200</v>
      </c>
      <c r="G91" s="4">
        <f>E91*$U$1</f>
        <v>2515.6249999999995</v>
      </c>
      <c r="I91" s="37"/>
      <c r="J91" s="4">
        <f>I91*$J$1</f>
        <v>0</v>
      </c>
      <c r="K91" s="37">
        <v>0</v>
      </c>
      <c r="L91" s="37"/>
      <c r="M91" s="37">
        <f>(((E91)*$U$1)+J91)/D91</f>
        <v>0.01048177083333333</v>
      </c>
      <c r="N91" s="37"/>
      <c r="O91" s="37"/>
    </row>
    <row r="92" spans="2:15" s="4" customFormat="1" ht="12.75">
      <c r="B92" s="4" t="s">
        <v>145</v>
      </c>
      <c r="C92" s="4">
        <v>100000</v>
      </c>
      <c r="D92" s="4">
        <f>C92*1.6</f>
        <v>160000</v>
      </c>
      <c r="E92" s="4">
        <v>312.5</v>
      </c>
      <c r="F92" s="4">
        <v>200</v>
      </c>
      <c r="G92" s="4">
        <f>E92*$U$1</f>
        <v>2515.6249999999995</v>
      </c>
      <c r="I92" s="37"/>
      <c r="J92" s="4">
        <f>I92*$J$1</f>
        <v>0</v>
      </c>
      <c r="K92" s="37">
        <f>(((E92)*$U$1)+J92)/D92</f>
        <v>0.015722656249999998</v>
      </c>
      <c r="L92" s="37"/>
      <c r="M92" s="37"/>
      <c r="N92" s="37"/>
      <c r="O92" s="37"/>
    </row>
    <row r="93" spans="12:15" s="4" customFormat="1" ht="12.75">
      <c r="L93" s="37">
        <f>SUM(K89:K92)</f>
        <v>0.09069503415781248</v>
      </c>
      <c r="M93" s="37"/>
      <c r="N93" s="37"/>
      <c r="O93" s="37"/>
    </row>
    <row r="94" spans="2:15" s="4" customFormat="1" ht="12.75">
      <c r="B94" s="4" t="s">
        <v>134</v>
      </c>
      <c r="I94" s="37"/>
      <c r="K94" s="37"/>
      <c r="L94" s="37"/>
      <c r="M94" s="37"/>
      <c r="N94" s="37"/>
      <c r="O94" s="37"/>
    </row>
    <row r="95" spans="2:15" s="4" customFormat="1" ht="12.75">
      <c r="B95" s="4" t="s">
        <v>135</v>
      </c>
      <c r="C95" s="4">
        <v>20000</v>
      </c>
      <c r="D95" s="4">
        <f>C95*1.6</f>
        <v>32000</v>
      </c>
      <c r="E95" s="4">
        <v>156.25</v>
      </c>
      <c r="F95" s="4">
        <v>100</v>
      </c>
      <c r="G95" s="4">
        <f>E95*$U$1</f>
        <v>1257.8124999999998</v>
      </c>
      <c r="I95" s="37">
        <v>2</v>
      </c>
      <c r="J95" s="4">
        <f>I95*$J$1</f>
        <v>325.74124439999997</v>
      </c>
      <c r="K95" s="37">
        <f>(((E95)*$U$1)+J95)/D95</f>
        <v>0.04948605451249999</v>
      </c>
      <c r="L95" s="37"/>
      <c r="M95" s="37">
        <f aca="true" t="shared" si="14" ref="M95:M100">K95</f>
        <v>0.04948605451249999</v>
      </c>
      <c r="N95" s="37"/>
      <c r="O95" s="37"/>
    </row>
    <row r="96" spans="2:15" s="4" customFormat="1" ht="12.75">
      <c r="B96" s="4" t="s">
        <v>98</v>
      </c>
      <c r="C96" s="4">
        <v>40000</v>
      </c>
      <c r="D96" s="4">
        <f>C96*1.6</f>
        <v>64000</v>
      </c>
      <c r="E96" s="4">
        <v>78.125</v>
      </c>
      <c r="F96" s="4">
        <v>50</v>
      </c>
      <c r="G96" s="4">
        <f>E96*$U$1</f>
        <v>628.9062499999999</v>
      </c>
      <c r="I96" s="37">
        <v>3</v>
      </c>
      <c r="J96" s="4">
        <f>I96*$J$1</f>
        <v>488.6118666</v>
      </c>
      <c r="K96" s="37">
        <f>(((E96)*$U$1)+J96)/D96</f>
        <v>0.017461220571874995</v>
      </c>
      <c r="L96" s="37"/>
      <c r="M96" s="37">
        <f t="shared" si="14"/>
        <v>0.017461220571874995</v>
      </c>
      <c r="N96" s="37"/>
      <c r="O96" s="37"/>
    </row>
    <row r="97" spans="2:15" s="4" customFormat="1" ht="12.75">
      <c r="B97" s="4" t="s">
        <v>136</v>
      </c>
      <c r="C97" s="4">
        <v>100000</v>
      </c>
      <c r="D97" s="4">
        <f>C97*1.6</f>
        <v>160000</v>
      </c>
      <c r="E97" s="4">
        <v>468.75</v>
      </c>
      <c r="F97" s="4">
        <v>300</v>
      </c>
      <c r="G97" s="4">
        <f>E97*$U$1</f>
        <v>3773.4374999999995</v>
      </c>
      <c r="I97" s="37">
        <v>2</v>
      </c>
      <c r="J97" s="4">
        <f>I97*$J$1</f>
        <v>325.74124439999997</v>
      </c>
      <c r="K97" s="37">
        <f>(((E97)*$U$1)+J97)/D97</f>
        <v>0.025619867152499996</v>
      </c>
      <c r="L97" s="37"/>
      <c r="M97" s="37">
        <f t="shared" si="14"/>
        <v>0.025619867152499996</v>
      </c>
      <c r="N97" s="37"/>
      <c r="O97" s="37"/>
    </row>
    <row r="98" spans="2:15" s="4" customFormat="1" ht="12.75">
      <c r="B98" s="4" t="s">
        <v>137</v>
      </c>
      <c r="C98" s="4">
        <v>200000</v>
      </c>
      <c r="D98" s="4">
        <f>C98*1.6</f>
        <v>320000</v>
      </c>
      <c r="E98" s="4">
        <v>1562.5</v>
      </c>
      <c r="F98" s="4">
        <v>1000</v>
      </c>
      <c r="G98" s="4">
        <f>E98*$U$1</f>
        <v>12578.124999999998</v>
      </c>
      <c r="I98" s="37">
        <v>6</v>
      </c>
      <c r="J98" s="4">
        <f>I98*$J$1</f>
        <v>977.2237332</v>
      </c>
      <c r="K98" s="37">
        <f>(((E98)*$U$1)+J98)/D98</f>
        <v>0.042360464791249997</v>
      </c>
      <c r="L98" s="37"/>
      <c r="M98" s="37">
        <f t="shared" si="14"/>
        <v>0.042360464791249997</v>
      </c>
      <c r="N98" s="37"/>
      <c r="O98" s="37"/>
    </row>
    <row r="99" spans="2:15" s="4" customFormat="1" ht="12.75">
      <c r="B99" s="4" t="s">
        <v>138</v>
      </c>
      <c r="C99" s="4">
        <v>100000</v>
      </c>
      <c r="D99" s="4">
        <f>C99*1.6</f>
        <v>160000</v>
      </c>
      <c r="E99" s="4">
        <v>312.5</v>
      </c>
      <c r="F99" s="4">
        <v>200</v>
      </c>
      <c r="G99" s="4">
        <f>E99*$U$1</f>
        <v>2515.6249999999995</v>
      </c>
      <c r="I99" s="37">
        <v>5</v>
      </c>
      <c r="J99" s="4">
        <f>I99*$J$1</f>
        <v>814.3531109999999</v>
      </c>
      <c r="K99" s="37">
        <f>(((E99)*$U$1)+J99)/D99</f>
        <v>0.020812363193749996</v>
      </c>
      <c r="L99" s="37"/>
      <c r="M99" s="37">
        <f t="shared" si="14"/>
        <v>0.020812363193749996</v>
      </c>
      <c r="N99" s="37"/>
      <c r="O99" s="37"/>
    </row>
    <row r="100" spans="2:15" s="4" customFormat="1" ht="12.75">
      <c r="B100" s="4" t="s">
        <v>139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7">
        <v>0</v>
      </c>
      <c r="M100" s="37">
        <f t="shared" si="14"/>
        <v>0</v>
      </c>
      <c r="N100" s="37"/>
      <c r="O100" s="37"/>
    </row>
    <row r="101" spans="10:15" s="4" customFormat="1" ht="12.75">
      <c r="J101" s="4">
        <f>SUM(J36:J100)</f>
        <v>26385.040796400004</v>
      </c>
      <c r="L101" s="36">
        <f>L93+L87+L100</f>
        <v>0.17978747078943746</v>
      </c>
      <c r="M101" s="4">
        <f>SUM(M91:M100)</f>
        <v>0.1662217410552083</v>
      </c>
      <c r="N101" s="37">
        <f>L101+M101</f>
        <v>0.3460092118446457</v>
      </c>
      <c r="O101" s="37"/>
    </row>
    <row r="102" ht="8.25" customHeight="1"/>
    <row r="103" spans="3:12" ht="15" customHeight="1">
      <c r="C103" s="207" t="s">
        <v>146</v>
      </c>
      <c r="D103" s="207"/>
      <c r="E103" s="207"/>
      <c r="F103" s="207"/>
      <c r="G103" s="207"/>
      <c r="H103" s="207"/>
      <c r="I103" s="207"/>
      <c r="J103" s="207"/>
      <c r="K103" s="207"/>
      <c r="L103" s="207"/>
    </row>
    <row r="104" spans="3:12" ht="3" customHeight="1" hidden="1">
      <c r="C104" s="39" t="s">
        <v>147</v>
      </c>
      <c r="D104" s="40">
        <v>37668</v>
      </c>
      <c r="E104" s="39" t="s">
        <v>148</v>
      </c>
      <c r="F104" s="39" t="s">
        <v>148</v>
      </c>
      <c r="H104" s="41">
        <v>2003</v>
      </c>
      <c r="I104" s="42"/>
      <c r="J104" s="42"/>
      <c r="K104" s="42"/>
      <c r="L104" s="42"/>
    </row>
    <row r="105" spans="2:12" ht="12.75">
      <c r="B105" s="43" t="s">
        <v>233</v>
      </c>
      <c r="C105" s="208" t="s">
        <v>51</v>
      </c>
      <c r="D105" s="43" t="s">
        <v>149</v>
      </c>
      <c r="E105" s="209" t="s">
        <v>150</v>
      </c>
      <c r="F105" s="209"/>
      <c r="G105" s="209"/>
      <c r="H105" s="43"/>
      <c r="I105" s="209" t="s">
        <v>151</v>
      </c>
      <c r="J105" s="209"/>
      <c r="K105" s="43" t="s">
        <v>152</v>
      </c>
      <c r="L105" s="43" t="s">
        <v>58</v>
      </c>
    </row>
    <row r="106" spans="3:22" ht="12.75" hidden="1">
      <c r="C106" s="208"/>
      <c r="D106" s="44" t="s">
        <v>153</v>
      </c>
      <c r="E106" s="44" t="s">
        <v>54</v>
      </c>
      <c r="F106" s="44" t="s">
        <v>54</v>
      </c>
      <c r="G106" s="44" t="s">
        <v>55</v>
      </c>
      <c r="H106" s="44"/>
      <c r="I106" s="44" t="s">
        <v>56</v>
      </c>
      <c r="J106" s="44" t="s">
        <v>55</v>
      </c>
      <c r="K106" s="44" t="s">
        <v>62</v>
      </c>
      <c r="L106" s="44" t="s">
        <v>154</v>
      </c>
      <c r="V106" s="41">
        <v>2500</v>
      </c>
    </row>
    <row r="107" spans="2:12" ht="12.75">
      <c r="B107" t="str">
        <f aca="true" t="shared" si="15" ref="B107:B134">C107</f>
        <v>MOTOR:</v>
      </c>
      <c r="C107" s="50" t="s">
        <v>186</v>
      </c>
      <c r="D107" s="42"/>
      <c r="E107" s="48">
        <v>1</v>
      </c>
      <c r="F107" s="48">
        <v>1</v>
      </c>
      <c r="G107" s="49"/>
      <c r="H107" s="49"/>
      <c r="I107" s="48"/>
      <c r="J107" s="49"/>
      <c r="K107" s="42"/>
      <c r="L107" s="42"/>
    </row>
    <row r="108" spans="2:12" ht="12.75">
      <c r="B108" t="str">
        <f t="shared" si="15"/>
        <v>Motor</v>
      </c>
      <c r="C108" s="42" t="s">
        <v>187</v>
      </c>
      <c r="D108" s="51">
        <v>350000</v>
      </c>
      <c r="E108" s="4">
        <v>2163.4615384615386</v>
      </c>
      <c r="F108" s="46">
        <v>1384.6153846153845</v>
      </c>
      <c r="G108" s="4">
        <f aca="true" t="shared" si="16" ref="G108:G141">E108*$U$1</f>
        <v>17415.865384615383</v>
      </c>
      <c r="H108" s="51">
        <v>1800000</v>
      </c>
      <c r="I108" s="42">
        <v>25</v>
      </c>
      <c r="J108" s="46">
        <f aca="true" t="shared" si="17" ref="J108:J119">I108*$J$1</f>
        <v>4071.7655549999995</v>
      </c>
      <c r="K108" s="37">
        <f aca="true" t="shared" si="18" ref="K108:K119">(((E108)*$U$1)+J108)/D108</f>
        <v>0.06139323125604394</v>
      </c>
      <c r="L108" s="42"/>
    </row>
    <row r="109" spans="2:12" ht="12.75">
      <c r="B109" t="str">
        <f t="shared" si="15"/>
        <v>Bomba de Agua</v>
      </c>
      <c r="C109" s="42" t="s">
        <v>188</v>
      </c>
      <c r="D109" s="46">
        <v>72000</v>
      </c>
      <c r="E109" s="4">
        <v>198.3173076923077</v>
      </c>
      <c r="F109" s="46">
        <v>126.92307692307692</v>
      </c>
      <c r="G109" s="4">
        <f t="shared" si="16"/>
        <v>1596.454326923077</v>
      </c>
      <c r="H109" s="46">
        <v>165000</v>
      </c>
      <c r="I109" s="42">
        <v>3</v>
      </c>
      <c r="J109" s="46">
        <f t="shared" si="17"/>
        <v>488.6118666</v>
      </c>
      <c r="K109" s="37">
        <f t="shared" si="18"/>
        <v>0.028959252687820514</v>
      </c>
      <c r="L109" s="42"/>
    </row>
    <row r="110" spans="2:12" ht="12.75">
      <c r="B110" t="str">
        <f t="shared" si="15"/>
        <v>Purificador de Aire</v>
      </c>
      <c r="C110" s="42" t="s">
        <v>189</v>
      </c>
      <c r="D110" s="46">
        <v>80000</v>
      </c>
      <c r="E110" s="4">
        <v>114.1826923076923</v>
      </c>
      <c r="F110" s="46">
        <v>73.07692307692308</v>
      </c>
      <c r="G110" s="4">
        <f t="shared" si="16"/>
        <v>919.170673076923</v>
      </c>
      <c r="H110" s="46">
        <v>95000</v>
      </c>
      <c r="I110" s="42">
        <v>1</v>
      </c>
      <c r="J110" s="46">
        <f t="shared" si="17"/>
        <v>162.87062219999999</v>
      </c>
      <c r="K110" s="37">
        <f t="shared" si="18"/>
        <v>0.013525516190961536</v>
      </c>
      <c r="L110" s="42"/>
    </row>
    <row r="111" spans="2:12" ht="12.75">
      <c r="B111" t="str">
        <f t="shared" si="15"/>
        <v>Radiador</v>
      </c>
      <c r="C111" s="42" t="s">
        <v>190</v>
      </c>
      <c r="D111" s="46">
        <v>72000</v>
      </c>
      <c r="E111" s="4">
        <v>234.375</v>
      </c>
      <c r="F111" s="46">
        <v>150</v>
      </c>
      <c r="G111" s="4">
        <f t="shared" si="16"/>
        <v>1886.7187499999998</v>
      </c>
      <c r="H111" s="46">
        <v>195000</v>
      </c>
      <c r="I111" s="42">
        <v>6</v>
      </c>
      <c r="J111" s="46">
        <f t="shared" si="17"/>
        <v>977.2237332</v>
      </c>
      <c r="K111" s="37">
        <f t="shared" si="18"/>
        <v>0.039776978933333325</v>
      </c>
      <c r="L111" s="42"/>
    </row>
    <row r="112" spans="2:12" ht="12.75">
      <c r="B112" t="str">
        <f t="shared" si="15"/>
        <v>Entonacion</v>
      </c>
      <c r="C112" s="42" t="s">
        <v>191</v>
      </c>
      <c r="D112" s="46">
        <v>72000</v>
      </c>
      <c r="E112" s="4">
        <v>72.11538461538461</v>
      </c>
      <c r="F112" s="46">
        <v>46.15384615384615</v>
      </c>
      <c r="G112" s="4">
        <f t="shared" si="16"/>
        <v>580.5288461538461</v>
      </c>
      <c r="H112" s="46">
        <v>60000</v>
      </c>
      <c r="I112" s="42">
        <v>3</v>
      </c>
      <c r="J112" s="46">
        <f t="shared" si="17"/>
        <v>488.6118666</v>
      </c>
      <c r="K112" s="37">
        <f t="shared" si="18"/>
        <v>0.014849176566025638</v>
      </c>
      <c r="L112" s="42"/>
    </row>
    <row r="113" spans="2:12" ht="12.75" hidden="1">
      <c r="B113" t="str">
        <f t="shared" si="15"/>
        <v>Overhaul</v>
      </c>
      <c r="C113" s="42" t="s">
        <v>192</v>
      </c>
      <c r="D113" s="46">
        <v>0</v>
      </c>
      <c r="E113" s="4">
        <v>0</v>
      </c>
      <c r="F113" s="46">
        <v>0</v>
      </c>
      <c r="G113" s="4">
        <f t="shared" si="16"/>
        <v>0</v>
      </c>
      <c r="H113" s="46">
        <v>0</v>
      </c>
      <c r="I113" s="42">
        <v>48</v>
      </c>
      <c r="J113" s="46"/>
      <c r="K113" s="37"/>
      <c r="L113" s="42"/>
    </row>
    <row r="114" spans="2:12" ht="12.75" hidden="1">
      <c r="B114" t="str">
        <f t="shared" si="15"/>
        <v>Turbo</v>
      </c>
      <c r="C114" s="42" t="s">
        <v>193</v>
      </c>
      <c r="D114" s="46">
        <v>0</v>
      </c>
      <c r="E114" s="4">
        <v>0</v>
      </c>
      <c r="F114" s="46">
        <v>0</v>
      </c>
      <c r="G114" s="4">
        <f t="shared" si="16"/>
        <v>0</v>
      </c>
      <c r="H114" s="46">
        <v>0</v>
      </c>
      <c r="I114" s="42">
        <v>1</v>
      </c>
      <c r="J114" s="46"/>
      <c r="K114" s="37"/>
      <c r="L114" s="42"/>
    </row>
    <row r="115" spans="2:12" ht="12.75">
      <c r="B115" t="str">
        <f t="shared" si="15"/>
        <v>Bomba Combustible</v>
      </c>
      <c r="C115" s="42" t="s">
        <v>194</v>
      </c>
      <c r="D115" s="46">
        <v>72000</v>
      </c>
      <c r="E115" s="4">
        <v>270.4326923076923</v>
      </c>
      <c r="F115" s="46">
        <v>173.07692307692307</v>
      </c>
      <c r="G115" s="4">
        <f t="shared" si="16"/>
        <v>2176.983173076923</v>
      </c>
      <c r="H115" s="46">
        <v>225000</v>
      </c>
      <c r="I115" s="42">
        <v>4</v>
      </c>
      <c r="J115" s="46">
        <f t="shared" si="17"/>
        <v>651.4824887999999</v>
      </c>
      <c r="K115" s="37">
        <f t="shared" si="18"/>
        <v>0.03928424530384615</v>
      </c>
      <c r="L115" s="42"/>
    </row>
    <row r="116" spans="2:12" ht="12.75">
      <c r="B116" t="str">
        <f t="shared" si="15"/>
        <v>Sistema de Aceite</v>
      </c>
      <c r="C116" s="42" t="s">
        <v>195</v>
      </c>
      <c r="D116" s="46">
        <v>10000</v>
      </c>
      <c r="E116" s="4">
        <v>114.1826923076923</v>
      </c>
      <c r="F116" s="46">
        <v>73.07692307692308</v>
      </c>
      <c r="G116" s="4">
        <f t="shared" si="16"/>
        <v>919.170673076923</v>
      </c>
      <c r="H116" s="46">
        <v>95000</v>
      </c>
      <c r="I116" s="42">
        <v>3</v>
      </c>
      <c r="J116" s="46">
        <f t="shared" si="17"/>
        <v>488.6118666</v>
      </c>
      <c r="K116" s="37">
        <f t="shared" si="18"/>
        <v>0.1407782539676923</v>
      </c>
      <c r="L116" s="42"/>
    </row>
    <row r="117" spans="2:12" ht="12.75">
      <c r="B117" t="str">
        <f t="shared" si="15"/>
        <v>Enfriamiento</v>
      </c>
      <c r="C117" s="42" t="s">
        <v>196</v>
      </c>
      <c r="D117" s="46">
        <v>72000</v>
      </c>
      <c r="E117" s="4">
        <v>312.5</v>
      </c>
      <c r="F117" s="46">
        <v>200</v>
      </c>
      <c r="G117" s="4">
        <f t="shared" si="16"/>
        <v>2515.6249999999995</v>
      </c>
      <c r="H117" s="46">
        <v>260000</v>
      </c>
      <c r="I117" s="42">
        <v>4</v>
      </c>
      <c r="J117" s="46">
        <f t="shared" si="17"/>
        <v>651.4824887999999</v>
      </c>
      <c r="K117" s="37">
        <f t="shared" si="18"/>
        <v>0.043987604011111105</v>
      </c>
      <c r="L117" s="42"/>
    </row>
    <row r="118" spans="2:12" ht="12.75">
      <c r="B118" t="str">
        <f t="shared" si="15"/>
        <v>Sistema de Escape</v>
      </c>
      <c r="C118" s="42" t="s">
        <v>197</v>
      </c>
      <c r="D118" s="46">
        <v>360000</v>
      </c>
      <c r="E118" s="4">
        <v>234.375</v>
      </c>
      <c r="F118" s="46">
        <v>150</v>
      </c>
      <c r="G118" s="4">
        <f t="shared" si="16"/>
        <v>1886.7187499999998</v>
      </c>
      <c r="H118" s="46">
        <v>195000</v>
      </c>
      <c r="I118" s="42">
        <v>1</v>
      </c>
      <c r="J118" s="46">
        <f t="shared" si="17"/>
        <v>162.87062219999999</v>
      </c>
      <c r="K118" s="37">
        <f t="shared" si="18"/>
        <v>0.0056933038116666656</v>
      </c>
      <c r="L118" s="42"/>
    </row>
    <row r="119" spans="2:12" ht="12.75">
      <c r="B119" t="str">
        <f t="shared" si="15"/>
        <v>Sistema Inyect/Cable/Bujia/Distribucion</v>
      </c>
      <c r="C119" s="42" t="s">
        <v>198</v>
      </c>
      <c r="D119" s="46">
        <v>72000</v>
      </c>
      <c r="E119" s="4">
        <v>625</v>
      </c>
      <c r="F119" s="46">
        <v>400</v>
      </c>
      <c r="G119" s="4">
        <f t="shared" si="16"/>
        <v>5031.249999999999</v>
      </c>
      <c r="H119" s="46">
        <v>760000</v>
      </c>
      <c r="I119" s="42">
        <v>3</v>
      </c>
      <c r="J119" s="46">
        <f t="shared" si="17"/>
        <v>488.6118666</v>
      </c>
      <c r="K119" s="37">
        <f t="shared" si="18"/>
        <v>0.07666474814722221</v>
      </c>
      <c r="L119" s="47">
        <f>SUM(K108:K119)</f>
        <v>0.4649123108757235</v>
      </c>
    </row>
    <row r="120" spans="2:12" ht="12.75">
      <c r="B120" t="str">
        <f t="shared" si="15"/>
        <v>MANTENIMIENTO:</v>
      </c>
      <c r="C120" s="50" t="s">
        <v>208</v>
      </c>
      <c r="D120" s="42"/>
      <c r="E120" s="48">
        <v>1</v>
      </c>
      <c r="F120" s="48">
        <v>1</v>
      </c>
      <c r="G120" s="49"/>
      <c r="H120" s="49"/>
      <c r="I120" s="48"/>
      <c r="J120" s="49"/>
      <c r="K120" s="42"/>
      <c r="L120" s="42"/>
    </row>
    <row r="121" spans="2:12" ht="12.75">
      <c r="B121" t="str">
        <f t="shared" si="15"/>
        <v>Cambio de Aceite/Motor</v>
      </c>
      <c r="C121" s="42" t="s">
        <v>209</v>
      </c>
      <c r="D121" s="46">
        <v>10400</v>
      </c>
      <c r="E121" s="4">
        <f>F121</f>
        <v>73.07692307692308</v>
      </c>
      <c r="F121" s="46">
        <v>73.07692307692308</v>
      </c>
      <c r="G121" s="4">
        <f t="shared" si="16"/>
        <v>588.2692307692307</v>
      </c>
      <c r="H121" s="46">
        <v>95000</v>
      </c>
      <c r="I121" s="42">
        <v>2</v>
      </c>
      <c r="J121" s="46">
        <f>I121*$J$1</f>
        <v>325.74124439999997</v>
      </c>
      <c r="K121" s="37">
        <f>(((E121)*$U$1)+J121)/D121</f>
        <v>0.08788562261242602</v>
      </c>
      <c r="L121" s="42"/>
    </row>
    <row r="122" spans="2:12" ht="12.75">
      <c r="B122" t="str">
        <f t="shared" si="15"/>
        <v>Aceite Caja/Transmicion</v>
      </c>
      <c r="C122" s="42" t="s">
        <v>210</v>
      </c>
      <c r="D122" s="46">
        <v>120000</v>
      </c>
      <c r="E122" s="4">
        <f>F122</f>
        <v>23.076923076923077</v>
      </c>
      <c r="F122" s="46">
        <v>23.076923076923077</v>
      </c>
      <c r="G122" s="4">
        <f t="shared" si="16"/>
        <v>185.76923076923075</v>
      </c>
      <c r="H122" s="46">
        <v>30000</v>
      </c>
      <c r="I122" s="42">
        <v>0.5</v>
      </c>
      <c r="J122" s="46">
        <f>I122*$J$1</f>
        <v>81.43531109999999</v>
      </c>
      <c r="K122" s="37">
        <f>(((E122)*$U$1)+J122)/D122</f>
        <v>0.002226704515576923</v>
      </c>
      <c r="L122" s="42"/>
    </row>
    <row r="123" spans="2:12" ht="12.75">
      <c r="B123" t="str">
        <f t="shared" si="15"/>
        <v>Filtros</v>
      </c>
      <c r="C123" s="42" t="s">
        <v>211</v>
      </c>
      <c r="D123" s="46">
        <v>10400</v>
      </c>
      <c r="E123" s="4">
        <f>F123</f>
        <v>8.076923076923077</v>
      </c>
      <c r="F123" s="46">
        <v>8.076923076923077</v>
      </c>
      <c r="G123" s="4">
        <f t="shared" si="16"/>
        <v>65.01923076923076</v>
      </c>
      <c r="H123" s="46">
        <v>10500</v>
      </c>
      <c r="I123" s="42">
        <v>0.5</v>
      </c>
      <c r="J123" s="46">
        <f>I123*$J$1</f>
        <v>81.43531109999999</v>
      </c>
      <c r="K123" s="37">
        <f>(((E123)*$U$1)+J123)/D123</f>
        <v>0.014082167487426033</v>
      </c>
      <c r="L123" s="42"/>
    </row>
    <row r="124" spans="2:12" ht="12.75">
      <c r="B124" t="str">
        <f t="shared" si="15"/>
        <v>Lubricantes/Fluidos</v>
      </c>
      <c r="C124" s="42" t="s">
        <v>212</v>
      </c>
      <c r="D124" s="46">
        <v>90000</v>
      </c>
      <c r="E124" s="4">
        <f>F124</f>
        <v>8.076923076923077</v>
      </c>
      <c r="F124" s="46">
        <v>8.076923076923077</v>
      </c>
      <c r="G124" s="4">
        <f t="shared" si="16"/>
        <v>65.01923076923076</v>
      </c>
      <c r="H124" s="46">
        <v>10500</v>
      </c>
      <c r="I124" s="42">
        <v>0.5</v>
      </c>
      <c r="J124" s="46">
        <f>I124*$J$1</f>
        <v>81.43531109999999</v>
      </c>
      <c r="K124" s="37">
        <f>(((E124)*$U$1)+J124)/D124</f>
        <v>0.0016272726874358972</v>
      </c>
      <c r="L124" s="42"/>
    </row>
    <row r="125" spans="2:12" ht="12.75">
      <c r="B125" t="str">
        <f t="shared" si="15"/>
        <v>Limpieza</v>
      </c>
      <c r="C125" s="42" t="s">
        <v>213</v>
      </c>
      <c r="D125" s="46">
        <v>6400</v>
      </c>
      <c r="E125" s="4">
        <v>6.009615384615384</v>
      </c>
      <c r="F125" s="46">
        <v>3.8461538461538463</v>
      </c>
      <c r="G125" s="4">
        <f t="shared" si="16"/>
        <v>48.37740384615383</v>
      </c>
      <c r="H125" s="46">
        <v>5000</v>
      </c>
      <c r="I125" s="42">
        <v>0.5</v>
      </c>
      <c r="J125" s="46">
        <f>I125*$J$1</f>
        <v>81.43531109999999</v>
      </c>
      <c r="K125" s="37">
        <f>(((E125)*$U$1)+J125)/D125</f>
        <v>0.020283236710336536</v>
      </c>
      <c r="L125" s="47">
        <f>SUM(K121:K125)</f>
        <v>0.1261050040132014</v>
      </c>
    </row>
    <row r="126" spans="2:12" ht="12.75">
      <c r="B126" t="str">
        <f t="shared" si="15"/>
        <v>CAUCHOS Y ALINEAMIENTOS:</v>
      </c>
      <c r="C126" s="50" t="s">
        <v>200</v>
      </c>
      <c r="D126" s="42"/>
      <c r="E126" s="48">
        <v>1</v>
      </c>
      <c r="F126" s="48">
        <v>1</v>
      </c>
      <c r="G126" s="49"/>
      <c r="H126" s="49"/>
      <c r="I126" s="48"/>
      <c r="J126" s="49"/>
      <c r="K126" s="42"/>
      <c r="L126" s="42"/>
    </row>
    <row r="127" spans="2:12" ht="12.75">
      <c r="B127" t="str">
        <f t="shared" si="15"/>
        <v>Cauchos Delanteros (11-00-20 CT-150 con T/P)</v>
      </c>
      <c r="C127" s="42" t="s">
        <v>201</v>
      </c>
      <c r="D127" s="46">
        <v>60000</v>
      </c>
      <c r="E127" s="4">
        <f>F127</f>
        <v>400</v>
      </c>
      <c r="F127" s="46">
        <v>400</v>
      </c>
      <c r="G127" s="4">
        <f t="shared" si="16"/>
        <v>3219.9999999999995</v>
      </c>
      <c r="H127" s="46">
        <v>871092</v>
      </c>
      <c r="I127" s="42">
        <v>1</v>
      </c>
      <c r="J127" s="46">
        <f aca="true" t="shared" si="19" ref="J127:J132">I127*$J$1</f>
        <v>162.87062219999999</v>
      </c>
      <c r="K127" s="37">
        <f aca="true" t="shared" si="20" ref="K127:K132">(((E127)*$U$1)+J127)/D127</f>
        <v>0.05638117703666666</v>
      </c>
      <c r="L127" s="42"/>
    </row>
    <row r="128" spans="2:12" ht="12.75">
      <c r="B128" t="str">
        <f t="shared" si="15"/>
        <v>Cauchos Traseros (11-00-20 CT-150 con T/P)</v>
      </c>
      <c r="C128" s="42" t="s">
        <v>202</v>
      </c>
      <c r="D128" s="46">
        <v>60000</v>
      </c>
      <c r="E128" s="4">
        <f>F128</f>
        <v>800</v>
      </c>
      <c r="F128" s="46">
        <v>800</v>
      </c>
      <c r="G128" s="4">
        <f t="shared" si="16"/>
        <v>6439.999999999999</v>
      </c>
      <c r="H128" s="46">
        <v>1738184</v>
      </c>
      <c r="I128" s="42">
        <v>3</v>
      </c>
      <c r="J128" s="46">
        <f t="shared" si="19"/>
        <v>488.6118666</v>
      </c>
      <c r="K128" s="37">
        <f t="shared" si="20"/>
        <v>0.11547686444333333</v>
      </c>
      <c r="L128" s="42"/>
    </row>
    <row r="129" spans="2:12" ht="12.75">
      <c r="B129" t="str">
        <f t="shared" si="15"/>
        <v>Rines</v>
      </c>
      <c r="C129" s="42" t="s">
        <v>203</v>
      </c>
      <c r="D129" s="46">
        <v>160000</v>
      </c>
      <c r="E129" s="4">
        <v>156.25</v>
      </c>
      <c r="F129" s="46">
        <v>100</v>
      </c>
      <c r="G129" s="4">
        <f t="shared" si="16"/>
        <v>1257.8124999999998</v>
      </c>
      <c r="H129" s="46">
        <v>260000</v>
      </c>
      <c r="I129" s="42">
        <v>5</v>
      </c>
      <c r="J129" s="46">
        <f t="shared" si="19"/>
        <v>814.3531109999999</v>
      </c>
      <c r="K129" s="37">
        <f t="shared" si="20"/>
        <v>0.012951035068749997</v>
      </c>
      <c r="L129" s="42"/>
    </row>
    <row r="130" spans="2:12" ht="12.75">
      <c r="B130" t="str">
        <f t="shared" si="15"/>
        <v>Espiches y Daños</v>
      </c>
      <c r="C130" s="42" t="s">
        <v>204</v>
      </c>
      <c r="D130" s="46">
        <v>64000</v>
      </c>
      <c r="E130" s="4">
        <v>90.14423076923076</v>
      </c>
      <c r="F130" s="46">
        <v>57.69230769230769</v>
      </c>
      <c r="G130" s="4">
        <f t="shared" si="16"/>
        <v>725.6610576923075</v>
      </c>
      <c r="H130" s="46">
        <v>75000</v>
      </c>
      <c r="I130" s="42">
        <v>2</v>
      </c>
      <c r="J130" s="46">
        <f t="shared" si="19"/>
        <v>325.74124439999997</v>
      </c>
      <c r="K130" s="37">
        <f t="shared" si="20"/>
        <v>0.016428160970192306</v>
      </c>
      <c r="L130" s="42"/>
    </row>
    <row r="131" spans="2:12" ht="12.75">
      <c r="B131" t="str">
        <f t="shared" si="15"/>
        <v>Alineacion</v>
      </c>
      <c r="C131" s="42" t="s">
        <v>205</v>
      </c>
      <c r="D131" s="46">
        <v>60000</v>
      </c>
      <c r="E131" s="4">
        <v>14.423076923076922</v>
      </c>
      <c r="F131" s="46">
        <v>9.23076923076923</v>
      </c>
      <c r="G131" s="4">
        <f t="shared" si="16"/>
        <v>116.1057692307692</v>
      </c>
      <c r="H131" s="46">
        <v>12000</v>
      </c>
      <c r="I131" s="42">
        <v>2</v>
      </c>
      <c r="J131" s="46">
        <f t="shared" si="19"/>
        <v>325.74124439999997</v>
      </c>
      <c r="K131" s="37">
        <f t="shared" si="20"/>
        <v>0.007364116893846153</v>
      </c>
      <c r="L131" s="42"/>
    </row>
    <row r="132" spans="2:12" ht="12.75">
      <c r="B132" t="str">
        <f t="shared" si="15"/>
        <v>Balanceo</v>
      </c>
      <c r="C132" s="42" t="s">
        <v>206</v>
      </c>
      <c r="D132" s="46">
        <v>60000</v>
      </c>
      <c r="E132" s="4">
        <v>43.269230769230774</v>
      </c>
      <c r="F132" s="46">
        <v>27.692307692307693</v>
      </c>
      <c r="G132" s="4">
        <f t="shared" si="16"/>
        <v>348.3173076923077</v>
      </c>
      <c r="H132" s="46">
        <v>36000</v>
      </c>
      <c r="I132" s="42">
        <v>3</v>
      </c>
      <c r="J132" s="46">
        <f t="shared" si="19"/>
        <v>488.6118666</v>
      </c>
      <c r="K132" s="37">
        <f t="shared" si="20"/>
        <v>0.01394881957153846</v>
      </c>
      <c r="L132" s="47">
        <f>SUM(K127:K132)</f>
        <v>0.22255017398432692</v>
      </c>
    </row>
    <row r="133" spans="2:12" ht="12.75">
      <c r="B133" t="str">
        <f t="shared" si="15"/>
        <v>SISTEMA ELECTRICO:</v>
      </c>
      <c r="C133" s="45" t="s">
        <v>155</v>
      </c>
      <c r="D133" s="42"/>
      <c r="E133" s="47"/>
      <c r="F133" s="47"/>
      <c r="G133" s="46"/>
      <c r="H133" s="46"/>
      <c r="I133" s="42"/>
      <c r="J133" s="46"/>
      <c r="K133" s="42"/>
      <c r="L133" s="42"/>
    </row>
    <row r="134" spans="2:12" ht="12.75">
      <c r="B134" t="str">
        <f t="shared" si="15"/>
        <v>Aire Acondicionado</v>
      </c>
      <c r="C134" s="42" t="s">
        <v>156</v>
      </c>
      <c r="D134" s="46">
        <v>360000</v>
      </c>
      <c r="E134" s="4">
        <v>402.6442307692308</v>
      </c>
      <c r="F134" s="46">
        <v>257.6923076923077</v>
      </c>
      <c r="G134" s="4">
        <f t="shared" si="16"/>
        <v>3241.286057692307</v>
      </c>
      <c r="H134" s="46">
        <v>335000</v>
      </c>
      <c r="I134" s="42">
        <v>4.5</v>
      </c>
      <c r="J134" s="46">
        <f>I134*$J$1</f>
        <v>732.9177999</v>
      </c>
      <c r="K134" s="37">
        <f>(((E134)*$U$1)+J134)/D134</f>
        <v>0.011039455159978631</v>
      </c>
      <c r="L134" s="42"/>
    </row>
    <row r="135" spans="2:12" ht="12.75">
      <c r="B135" t="str">
        <f aca="true" t="shared" si="21" ref="B135:B170">C135</f>
        <v>Manometros</v>
      </c>
      <c r="C135" s="42" t="s">
        <v>157</v>
      </c>
      <c r="D135" s="46">
        <v>160000</v>
      </c>
      <c r="E135" s="4">
        <v>102.16346153846155</v>
      </c>
      <c r="F135" s="46">
        <v>65.38461538461539</v>
      </c>
      <c r="G135" s="4">
        <f t="shared" si="16"/>
        <v>822.4158653846154</v>
      </c>
      <c r="H135" s="46">
        <v>85000</v>
      </c>
      <c r="I135" s="42">
        <v>4</v>
      </c>
      <c r="J135" s="46">
        <f aca="true" t="shared" si="22" ref="J135:J141">I135*$J$1</f>
        <v>651.4824887999999</v>
      </c>
      <c r="K135" s="37">
        <f aca="true" t="shared" si="23" ref="K135:K141">(((E135)*$U$1)+J135)/D135</f>
        <v>0.009211864713653846</v>
      </c>
      <c r="L135" s="42"/>
    </row>
    <row r="136" spans="2:12" ht="12.75">
      <c r="B136" t="s">
        <v>237</v>
      </c>
      <c r="C136" s="42" t="s">
        <v>158</v>
      </c>
      <c r="D136" s="46">
        <v>128000</v>
      </c>
      <c r="E136" s="4">
        <v>28.846153846153843</v>
      </c>
      <c r="F136" s="46">
        <v>18.46153846153846</v>
      </c>
      <c r="G136" s="4">
        <f t="shared" si="16"/>
        <v>232.2115384615384</v>
      </c>
      <c r="H136" s="46">
        <v>24000</v>
      </c>
      <c r="I136" s="42">
        <v>1.5</v>
      </c>
      <c r="J136" s="46">
        <f t="shared" si="22"/>
        <v>244.3059333</v>
      </c>
      <c r="K136" s="37">
        <f t="shared" si="23"/>
        <v>0.003722792748137019</v>
      </c>
      <c r="L136" s="42"/>
    </row>
    <row r="137" spans="2:12" ht="12.75">
      <c r="B137" t="str">
        <f t="shared" si="21"/>
        <v>Luces</v>
      </c>
      <c r="C137" s="42" t="s">
        <v>159</v>
      </c>
      <c r="D137" s="46">
        <v>160000</v>
      </c>
      <c r="E137" s="4">
        <v>90.14423076923076</v>
      </c>
      <c r="F137" s="46">
        <v>57.69230769230769</v>
      </c>
      <c r="G137" s="4">
        <f t="shared" si="16"/>
        <v>725.6610576923075</v>
      </c>
      <c r="H137" s="46">
        <v>75000</v>
      </c>
      <c r="I137" s="42">
        <v>1</v>
      </c>
      <c r="J137" s="46">
        <f t="shared" si="22"/>
        <v>162.87062219999999</v>
      </c>
      <c r="K137" s="37">
        <f t="shared" si="23"/>
        <v>0.005553322999326922</v>
      </c>
      <c r="L137" s="42"/>
    </row>
    <row r="138" spans="2:12" ht="12.75">
      <c r="B138" t="str">
        <f t="shared" si="21"/>
        <v>Accesorios</v>
      </c>
      <c r="C138" s="42" t="s">
        <v>160</v>
      </c>
      <c r="D138" s="46">
        <v>160000</v>
      </c>
      <c r="E138" s="4">
        <v>132.21153846153845</v>
      </c>
      <c r="F138" s="46">
        <v>84.61538461538461</v>
      </c>
      <c r="G138" s="4">
        <f t="shared" si="16"/>
        <v>1064.3028846153843</v>
      </c>
      <c r="H138" s="46">
        <v>110000</v>
      </c>
      <c r="I138" s="42">
        <v>2</v>
      </c>
      <c r="J138" s="46">
        <f t="shared" si="22"/>
        <v>325.74124439999997</v>
      </c>
      <c r="K138" s="37">
        <f t="shared" si="23"/>
        <v>0.008687775806346151</v>
      </c>
      <c r="L138" s="42"/>
    </row>
    <row r="139" spans="2:12" ht="12.75">
      <c r="B139" t="str">
        <f t="shared" si="21"/>
        <v>Arranque</v>
      </c>
      <c r="C139" s="42" t="s">
        <v>161</v>
      </c>
      <c r="D139" s="46">
        <v>72000</v>
      </c>
      <c r="E139" s="4">
        <v>174.27884615384613</v>
      </c>
      <c r="F139" s="46">
        <v>111.53846153846153</v>
      </c>
      <c r="G139" s="4">
        <f t="shared" si="16"/>
        <v>1402.9447115384612</v>
      </c>
      <c r="H139" s="46">
        <v>145000</v>
      </c>
      <c r="I139" s="42">
        <v>2</v>
      </c>
      <c r="J139" s="46">
        <f t="shared" si="22"/>
        <v>325.74124439999997</v>
      </c>
      <c r="K139" s="37">
        <f t="shared" si="23"/>
        <v>0.02400952716581196</v>
      </c>
      <c r="L139" s="42"/>
    </row>
    <row r="140" spans="2:12" ht="12.75">
      <c r="B140" t="str">
        <f t="shared" si="21"/>
        <v>Alternador</v>
      </c>
      <c r="C140" s="42" t="s">
        <v>162</v>
      </c>
      <c r="D140" s="46">
        <v>72000</v>
      </c>
      <c r="E140" s="4">
        <v>246.39423076923075</v>
      </c>
      <c r="F140" s="46">
        <v>157.69230769230768</v>
      </c>
      <c r="G140" s="4">
        <f t="shared" si="16"/>
        <v>1983.4735576923072</v>
      </c>
      <c r="H140" s="46">
        <v>205000</v>
      </c>
      <c r="I140" s="42">
        <v>1.5</v>
      </c>
      <c r="J140" s="46">
        <f t="shared" si="22"/>
        <v>244.3059333</v>
      </c>
      <c r="K140" s="37">
        <f t="shared" si="23"/>
        <v>0.0309413818193376</v>
      </c>
      <c r="L140" s="42"/>
    </row>
    <row r="141" spans="2:12" ht="12.75">
      <c r="B141" t="str">
        <f t="shared" si="21"/>
        <v>Baterias</v>
      </c>
      <c r="C141" s="42" t="s">
        <v>163</v>
      </c>
      <c r="D141" s="46">
        <v>72000</v>
      </c>
      <c r="E141" s="4">
        <v>144.23076923076923</v>
      </c>
      <c r="F141" s="46">
        <v>92.3076923076923</v>
      </c>
      <c r="G141" s="4">
        <f t="shared" si="16"/>
        <v>1161.0576923076922</v>
      </c>
      <c r="H141" s="46">
        <v>120000</v>
      </c>
      <c r="I141" s="42">
        <v>1</v>
      </c>
      <c r="J141" s="46">
        <f t="shared" si="22"/>
        <v>162.87062219999999</v>
      </c>
      <c r="K141" s="37">
        <f t="shared" si="23"/>
        <v>0.018387893257051282</v>
      </c>
      <c r="L141" s="47">
        <f>SUM(K134:K141)</f>
        <v>0.11155401366964342</v>
      </c>
    </row>
    <row r="142" spans="2:11" ht="12.75" hidden="1">
      <c r="B142" t="str">
        <f t="shared" si="21"/>
        <v>TOTAL SISTEMA ELECTRICO:</v>
      </c>
      <c r="C142" s="210" t="s">
        <v>164</v>
      </c>
      <c r="D142" s="210"/>
      <c r="E142" s="210"/>
      <c r="F142" s="210"/>
      <c r="G142" s="210"/>
      <c r="H142" s="210"/>
      <c r="I142" s="210"/>
      <c r="J142" s="210"/>
      <c r="K142" s="210"/>
    </row>
    <row r="143" spans="2:12" ht="12.75">
      <c r="B143" t="str">
        <f t="shared" si="21"/>
        <v>FRENOS:</v>
      </c>
      <c r="C143" s="45" t="s">
        <v>165</v>
      </c>
      <c r="D143" s="42"/>
      <c r="E143" s="48">
        <v>1</v>
      </c>
      <c r="F143" s="48">
        <v>1</v>
      </c>
      <c r="G143" s="49"/>
      <c r="H143" s="49"/>
      <c r="I143" s="48"/>
      <c r="J143" s="49"/>
      <c r="K143" s="42"/>
      <c r="L143" s="42"/>
    </row>
    <row r="144" spans="2:12" ht="12.75">
      <c r="B144" t="str">
        <f t="shared" si="21"/>
        <v>Reparacion Menor</v>
      </c>
      <c r="C144" s="42" t="s">
        <v>166</v>
      </c>
      <c r="D144" s="46">
        <v>80000</v>
      </c>
      <c r="E144" s="4">
        <v>156.25</v>
      </c>
      <c r="F144" s="46">
        <v>100</v>
      </c>
      <c r="G144" s="4">
        <f>E144*$U$1</f>
        <v>1257.8124999999998</v>
      </c>
      <c r="H144" s="46">
        <v>195000</v>
      </c>
      <c r="I144" s="42">
        <v>5</v>
      </c>
      <c r="J144" s="46">
        <f>I144*$J$1</f>
        <v>814.3531109999999</v>
      </c>
      <c r="K144" s="37">
        <f>(((E144)*$U$1)+J144)/D144</f>
        <v>0.025902070137499993</v>
      </c>
      <c r="L144" s="42"/>
    </row>
    <row r="145" spans="2:12" ht="12.75">
      <c r="B145" t="str">
        <f t="shared" si="21"/>
        <v>Reparacion Mayor</v>
      </c>
      <c r="C145" s="42" t="s">
        <v>167</v>
      </c>
      <c r="D145" s="46">
        <v>160000</v>
      </c>
      <c r="E145" s="4">
        <v>390.625</v>
      </c>
      <c r="F145" s="46">
        <v>250</v>
      </c>
      <c r="G145" s="4">
        <f>E145*$U$1</f>
        <v>3144.5312499999995</v>
      </c>
      <c r="H145" s="46">
        <v>580000</v>
      </c>
      <c r="I145" s="42">
        <v>11.5</v>
      </c>
      <c r="J145" s="46">
        <f>I145*$J$1</f>
        <v>1873.0121553</v>
      </c>
      <c r="K145" s="37">
        <f>(((E145)*$U$1)+J145)/D145</f>
        <v>0.031359646283124994</v>
      </c>
      <c r="L145" s="42"/>
    </row>
    <row r="146" spans="2:12" ht="12.75">
      <c r="B146" t="str">
        <f t="shared" si="21"/>
        <v>Ajustes</v>
      </c>
      <c r="C146" s="42" t="s">
        <v>168</v>
      </c>
      <c r="D146" s="46">
        <v>32000</v>
      </c>
      <c r="E146" s="4">
        <v>48.07692307692307</v>
      </c>
      <c r="F146" s="46">
        <v>30.76923076923077</v>
      </c>
      <c r="G146" s="4">
        <f>E146*$U$1</f>
        <v>387.01923076923066</v>
      </c>
      <c r="H146" s="46">
        <v>40000</v>
      </c>
      <c r="I146" s="42">
        <v>1</v>
      </c>
      <c r="J146" s="46">
        <f>I146*$J$1</f>
        <v>162.87062219999999</v>
      </c>
      <c r="K146" s="37">
        <f>(((E146)*$U$1)+J146)/D146</f>
        <v>0.017184057905288458</v>
      </c>
      <c r="L146" s="42"/>
    </row>
    <row r="147" spans="2:12" ht="12.75">
      <c r="B147" t="str">
        <f t="shared" si="21"/>
        <v>Tambores</v>
      </c>
      <c r="C147" s="42" t="s">
        <v>169</v>
      </c>
      <c r="D147" s="46">
        <v>140000</v>
      </c>
      <c r="E147" s="4">
        <v>156.25</v>
      </c>
      <c r="F147" s="46">
        <v>100</v>
      </c>
      <c r="G147" s="4">
        <f>E147*$U$1</f>
        <v>1257.8124999999998</v>
      </c>
      <c r="H147" s="46">
        <v>360000</v>
      </c>
      <c r="I147" s="42">
        <v>1</v>
      </c>
      <c r="J147" s="46">
        <f>I147*$J$1</f>
        <v>162.87062219999999</v>
      </c>
      <c r="K147" s="37">
        <f>(((E147)*$U$1)+J147)/D147</f>
        <v>0.010147736587142856</v>
      </c>
      <c r="L147" s="42"/>
    </row>
    <row r="148" spans="2:12" ht="12.75">
      <c r="B148" t="str">
        <f t="shared" si="21"/>
        <v>Valvulas</v>
      </c>
      <c r="C148" s="42" t="s">
        <v>170</v>
      </c>
      <c r="D148" s="46">
        <v>120000</v>
      </c>
      <c r="E148" s="4">
        <v>156.25</v>
      </c>
      <c r="F148" s="46">
        <v>100</v>
      </c>
      <c r="G148" s="4">
        <f>E148*$U$1</f>
        <v>1257.8124999999998</v>
      </c>
      <c r="H148" s="46">
        <v>210000</v>
      </c>
      <c r="I148" s="42">
        <v>1</v>
      </c>
      <c r="J148" s="46">
        <f>I148*$J$1</f>
        <v>162.87062219999999</v>
      </c>
      <c r="K148" s="37">
        <f>(((E148)*$U$1)+J148)/D148</f>
        <v>0.011839026018333332</v>
      </c>
      <c r="L148" s="47">
        <f>SUM(K144:K148)</f>
        <v>0.09643253693138963</v>
      </c>
    </row>
    <row r="149" spans="2:11" ht="12.75" hidden="1">
      <c r="B149" t="str">
        <f t="shared" si="21"/>
        <v>TOTAL FRENOS</v>
      </c>
      <c r="C149" s="210" t="s">
        <v>171</v>
      </c>
      <c r="D149" s="210"/>
      <c r="E149" s="210"/>
      <c r="F149" s="210"/>
      <c r="G149" s="210"/>
      <c r="H149" s="210"/>
      <c r="I149" s="210"/>
      <c r="J149" s="210"/>
      <c r="K149" s="210"/>
    </row>
    <row r="150" spans="2:12" ht="12.75">
      <c r="B150" t="str">
        <f t="shared" si="21"/>
        <v>SUSPENSIÓN Y RESORTES:</v>
      </c>
      <c r="C150" s="50" t="s">
        <v>172</v>
      </c>
      <c r="D150" s="42"/>
      <c r="E150" s="48">
        <v>1</v>
      </c>
      <c r="F150" s="48">
        <v>1</v>
      </c>
      <c r="G150" s="49"/>
      <c r="H150" s="49"/>
      <c r="I150" s="48"/>
      <c r="J150" s="49"/>
      <c r="K150" s="42"/>
      <c r="L150" s="42"/>
    </row>
    <row r="151" spans="2:12" ht="12.75">
      <c r="B151" t="str">
        <f t="shared" si="21"/>
        <v>Resortes</v>
      </c>
      <c r="C151" s="42" t="s">
        <v>173</v>
      </c>
      <c r="D151" s="46">
        <v>185000</v>
      </c>
      <c r="E151" s="4">
        <v>228.3653846153846</v>
      </c>
      <c r="F151" s="46">
        <v>146.15384615384616</v>
      </c>
      <c r="G151" s="4">
        <f>E151*$U$1</f>
        <v>1838.341346153846</v>
      </c>
      <c r="H151" s="46">
        <v>190000</v>
      </c>
      <c r="I151" s="42">
        <v>5</v>
      </c>
      <c r="J151" s="46">
        <f>I151*$J$1</f>
        <v>814.3531109999999</v>
      </c>
      <c r="K151" s="37">
        <f>(((E151)*$U$1)+J151)/D151</f>
        <v>0.014338888957588357</v>
      </c>
      <c r="L151" s="42"/>
    </row>
    <row r="152" spans="2:12" ht="12.75">
      <c r="B152" t="str">
        <f t="shared" si="21"/>
        <v>Suspension</v>
      </c>
      <c r="C152" s="42" t="s">
        <v>174</v>
      </c>
      <c r="D152" s="46">
        <v>72000</v>
      </c>
      <c r="E152" s="4">
        <v>606.9711538461538</v>
      </c>
      <c r="F152" s="46">
        <v>388.46153846153845</v>
      </c>
      <c r="G152" s="4">
        <f>E152*$U$1</f>
        <v>4886.117788461537</v>
      </c>
      <c r="H152" s="46">
        <v>505000</v>
      </c>
      <c r="I152" s="42">
        <v>10</v>
      </c>
      <c r="J152" s="46">
        <f>I152*$J$1</f>
        <v>1628.7062219999998</v>
      </c>
      <c r="K152" s="37">
        <f>(((E152)*$U$1)+J152)/D152</f>
        <v>0.09048366681196579</v>
      </c>
      <c r="L152" s="47">
        <f>+K151+K152</f>
        <v>0.10482255576955415</v>
      </c>
    </row>
    <row r="153" spans="2:11" ht="12.75" hidden="1">
      <c r="B153" t="str">
        <f t="shared" si="21"/>
        <v>TOTAL SUSPENSION Y RESORTES</v>
      </c>
      <c r="C153" s="210" t="s">
        <v>175</v>
      </c>
      <c r="D153" s="210"/>
      <c r="E153" s="210"/>
      <c r="F153" s="210"/>
      <c r="G153" s="210"/>
      <c r="H153" s="210"/>
      <c r="I153" s="210"/>
      <c r="J153" s="210"/>
      <c r="K153" s="210"/>
    </row>
    <row r="154" spans="2:12" ht="12.75">
      <c r="B154" t="str">
        <f t="shared" si="21"/>
        <v>EJE DE CARGA:</v>
      </c>
      <c r="C154" s="50" t="s">
        <v>176</v>
      </c>
      <c r="D154" s="42"/>
      <c r="E154" s="48">
        <v>1</v>
      </c>
      <c r="F154" s="48">
        <v>1</v>
      </c>
      <c r="G154" s="49"/>
      <c r="H154" s="49"/>
      <c r="I154" s="48"/>
      <c r="J154" s="49"/>
      <c r="K154" s="42"/>
      <c r="L154" s="42"/>
    </row>
    <row r="155" spans="2:12" ht="12.75" hidden="1">
      <c r="B155">
        <f t="shared" si="21"/>
        <v>0</v>
      </c>
      <c r="C155" s="50"/>
      <c r="D155" s="42"/>
      <c r="E155" s="42"/>
      <c r="F155" s="42"/>
      <c r="G155" s="46"/>
      <c r="H155" s="46"/>
      <c r="I155" s="42"/>
      <c r="J155" s="46"/>
      <c r="K155" s="42"/>
      <c r="L155" s="42"/>
    </row>
    <row r="156" spans="2:12" ht="12.75">
      <c r="B156" t="str">
        <f t="shared" si="21"/>
        <v>Direccion</v>
      </c>
      <c r="C156" s="42" t="s">
        <v>177</v>
      </c>
      <c r="D156" s="46">
        <v>140000</v>
      </c>
      <c r="E156" s="4">
        <v>534.8557692307692</v>
      </c>
      <c r="F156" s="46">
        <v>342.3076923076923</v>
      </c>
      <c r="G156" s="4">
        <f aca="true" t="shared" si="24" ref="G156:G163">E156*$U$1</f>
        <v>4305.5889423076915</v>
      </c>
      <c r="H156" s="46">
        <v>445000</v>
      </c>
      <c r="I156" s="42">
        <v>7</v>
      </c>
      <c r="J156" s="46">
        <f aca="true" t="shared" si="25" ref="J156:J163">I156*$J$1</f>
        <v>1140.0943553999998</v>
      </c>
      <c r="K156" s="37">
        <f aca="true" t="shared" si="26" ref="K156:K163">(((E156)*$U$1)+J156)/D156</f>
        <v>0.03889773784076922</v>
      </c>
      <c r="L156" s="42"/>
    </row>
    <row r="157" spans="2:12" ht="12.75" hidden="1">
      <c r="B157" t="str">
        <f t="shared" si="21"/>
        <v>Pin</v>
      </c>
      <c r="C157" s="42" t="s">
        <v>178</v>
      </c>
      <c r="D157" s="46">
        <v>0</v>
      </c>
      <c r="E157" s="4">
        <v>0</v>
      </c>
      <c r="F157" s="46">
        <v>0</v>
      </c>
      <c r="G157" s="4">
        <f t="shared" si="24"/>
        <v>0</v>
      </c>
      <c r="H157" s="46">
        <v>0</v>
      </c>
      <c r="I157" s="42">
        <v>6</v>
      </c>
      <c r="J157" s="46">
        <v>0</v>
      </c>
      <c r="K157" s="37">
        <v>0</v>
      </c>
      <c r="L157" s="42"/>
    </row>
    <row r="158" spans="2:12" ht="12.75">
      <c r="B158" t="str">
        <f t="shared" si="21"/>
        <v>Clutch</v>
      </c>
      <c r="C158" s="42" t="s">
        <v>179</v>
      </c>
      <c r="D158" s="46">
        <v>120000</v>
      </c>
      <c r="E158" s="4">
        <v>625</v>
      </c>
      <c r="F158" s="46">
        <v>400</v>
      </c>
      <c r="G158" s="4">
        <f t="shared" si="24"/>
        <v>5031.249999999999</v>
      </c>
      <c r="H158" s="46">
        <v>540000</v>
      </c>
      <c r="I158" s="42">
        <v>8</v>
      </c>
      <c r="J158" s="46">
        <f t="shared" si="25"/>
        <v>1302.9649775999999</v>
      </c>
      <c r="K158" s="37">
        <f t="shared" si="26"/>
        <v>0.05278512481333332</v>
      </c>
      <c r="L158" s="42"/>
    </row>
    <row r="159" spans="2:12" ht="12.75">
      <c r="B159" t="str">
        <f t="shared" si="21"/>
        <v>Diferencial</v>
      </c>
      <c r="C159" s="42" t="s">
        <v>180</v>
      </c>
      <c r="D159" s="46">
        <v>360000</v>
      </c>
      <c r="E159" s="4">
        <v>1171.875</v>
      </c>
      <c r="F159" s="46">
        <v>750</v>
      </c>
      <c r="G159" s="4">
        <f t="shared" si="24"/>
        <v>9433.593749999998</v>
      </c>
      <c r="H159" s="46">
        <v>2200000</v>
      </c>
      <c r="I159" s="42">
        <v>25</v>
      </c>
      <c r="J159" s="46">
        <f t="shared" si="25"/>
        <v>4071.7655549999995</v>
      </c>
      <c r="K159" s="37">
        <f t="shared" si="26"/>
        <v>0.03751488695833333</v>
      </c>
      <c r="L159" s="42"/>
    </row>
    <row r="160" spans="2:12" ht="12.75">
      <c r="B160" t="str">
        <f t="shared" si="21"/>
        <v>Caja</v>
      </c>
      <c r="C160" s="42" t="s">
        <v>181</v>
      </c>
      <c r="D160" s="46">
        <v>185000</v>
      </c>
      <c r="E160" s="4">
        <v>1562.5</v>
      </c>
      <c r="F160" s="46">
        <v>1000</v>
      </c>
      <c r="G160" s="4">
        <f t="shared" si="24"/>
        <v>12578.124999999998</v>
      </c>
      <c r="H160" s="46">
        <v>2200000</v>
      </c>
      <c r="I160" s="42">
        <v>14</v>
      </c>
      <c r="J160" s="46">
        <f t="shared" si="25"/>
        <v>2280.1887107999996</v>
      </c>
      <c r="K160" s="37">
        <f t="shared" si="26"/>
        <v>0.08031520924756755</v>
      </c>
      <c r="L160" s="42"/>
    </row>
    <row r="161" spans="2:12" ht="12.75">
      <c r="B161" t="str">
        <f t="shared" si="21"/>
        <v>Cardan</v>
      </c>
      <c r="C161" s="42" t="s">
        <v>182</v>
      </c>
      <c r="D161" s="46">
        <v>185000</v>
      </c>
      <c r="E161" s="4">
        <v>156.25</v>
      </c>
      <c r="F161" s="46">
        <v>100</v>
      </c>
      <c r="G161" s="4">
        <f t="shared" si="24"/>
        <v>1257.8124999999998</v>
      </c>
      <c r="H161" s="46">
        <v>245000</v>
      </c>
      <c r="I161" s="42">
        <v>2</v>
      </c>
      <c r="J161" s="46">
        <f t="shared" si="25"/>
        <v>325.74124439999997</v>
      </c>
      <c r="K161" s="37">
        <f t="shared" si="26"/>
        <v>0.008559749969729727</v>
      </c>
      <c r="L161" s="42"/>
    </row>
    <row r="162" spans="2:12" ht="12.75">
      <c r="B162" t="str">
        <f t="shared" si="21"/>
        <v>Eje de Carga Delantero</v>
      </c>
      <c r="C162" s="42" t="s">
        <v>183</v>
      </c>
      <c r="D162" s="46">
        <v>300000</v>
      </c>
      <c r="E162" s="4">
        <v>312.5</v>
      </c>
      <c r="F162" s="46">
        <v>200</v>
      </c>
      <c r="G162" s="4">
        <f t="shared" si="24"/>
        <v>2515.6249999999995</v>
      </c>
      <c r="H162" s="46">
        <v>260000</v>
      </c>
      <c r="I162" s="42">
        <v>2</v>
      </c>
      <c r="J162" s="46">
        <f t="shared" si="25"/>
        <v>325.74124439999997</v>
      </c>
      <c r="K162" s="37">
        <f t="shared" si="26"/>
        <v>0.009471220814666666</v>
      </c>
      <c r="L162" s="42"/>
    </row>
    <row r="163" spans="2:12" ht="12.75">
      <c r="B163" t="str">
        <f t="shared" si="21"/>
        <v>Eje de Carga Trasero</v>
      </c>
      <c r="C163" s="42" t="s">
        <v>184</v>
      </c>
      <c r="D163" s="46">
        <v>360000</v>
      </c>
      <c r="E163" s="4">
        <v>1171.875</v>
      </c>
      <c r="F163" s="46">
        <v>750</v>
      </c>
      <c r="G163" s="4">
        <f t="shared" si="24"/>
        <v>9433.593749999998</v>
      </c>
      <c r="H163" s="46">
        <v>1300000</v>
      </c>
      <c r="I163" s="42">
        <v>6</v>
      </c>
      <c r="J163" s="46">
        <f t="shared" si="25"/>
        <v>977.2237332</v>
      </c>
      <c r="K163" s="37">
        <f t="shared" si="26"/>
        <v>0.028918937453333328</v>
      </c>
      <c r="L163" s="47">
        <f>SUM(K156:K163)</f>
        <v>0.25646286709773314</v>
      </c>
    </row>
    <row r="164" spans="2:11" ht="12.75" hidden="1">
      <c r="B164" t="str">
        <f t="shared" si="21"/>
        <v>TOTAL EJE DE CARGA</v>
      </c>
      <c r="C164" s="210" t="s">
        <v>185</v>
      </c>
      <c r="D164" s="210"/>
      <c r="E164" s="210"/>
      <c r="F164" s="210"/>
      <c r="G164" s="210"/>
      <c r="H164" s="210"/>
      <c r="I164" s="210"/>
      <c r="J164" s="210"/>
      <c r="K164" s="210"/>
    </row>
    <row r="165" spans="2:11" ht="12.75" hidden="1">
      <c r="B165" t="str">
        <f t="shared" si="21"/>
        <v>TOTAL MANTENIMIENTO</v>
      </c>
      <c r="C165" s="210" t="s">
        <v>214</v>
      </c>
      <c r="D165" s="210"/>
      <c r="E165" s="210"/>
      <c r="F165" s="210"/>
      <c r="G165" s="210"/>
      <c r="H165" s="210"/>
      <c r="I165" s="210"/>
      <c r="J165" s="210"/>
      <c r="K165" s="210"/>
    </row>
    <row r="166" spans="2:12" ht="12.75">
      <c r="B166" t="str">
        <f t="shared" si="21"/>
        <v>AUXILIO VIAL:</v>
      </c>
      <c r="C166" s="50" t="s">
        <v>215</v>
      </c>
      <c r="D166" s="42"/>
      <c r="E166" s="48">
        <v>1</v>
      </c>
      <c r="F166" s="48">
        <v>1</v>
      </c>
      <c r="G166" s="49"/>
      <c r="H166" s="49"/>
      <c r="I166" s="48"/>
      <c r="J166" s="49"/>
      <c r="K166" s="42"/>
      <c r="L166" s="42"/>
    </row>
    <row r="167" spans="2:12" ht="12.75">
      <c r="B167" t="str">
        <f t="shared" si="21"/>
        <v>Servicio de Carretera</v>
      </c>
      <c r="C167" s="42" t="s">
        <v>216</v>
      </c>
      <c r="D167" s="46">
        <v>96000</v>
      </c>
      <c r="E167" s="4">
        <v>109.375</v>
      </c>
      <c r="F167" s="46">
        <v>70</v>
      </c>
      <c r="G167" s="4">
        <f>E167*$U$1</f>
        <v>880.4687499999999</v>
      </c>
      <c r="H167" s="46">
        <v>130000</v>
      </c>
      <c r="I167" s="42">
        <v>2</v>
      </c>
      <c r="J167" s="46">
        <f>I167*$J$1</f>
        <v>325.74124439999997</v>
      </c>
      <c r="K167" s="37">
        <f>(((E167)*$U$1)+J167)/D167</f>
        <v>0.012564687441666667</v>
      </c>
      <c r="L167" s="42"/>
    </row>
    <row r="168" spans="2:12" ht="12.75">
      <c r="B168" t="str">
        <f t="shared" si="21"/>
        <v>Reparaciones Menores</v>
      </c>
      <c r="C168" s="42" t="s">
        <v>217</v>
      </c>
      <c r="D168" s="46">
        <v>96000</v>
      </c>
      <c r="E168" s="4">
        <v>78.125</v>
      </c>
      <c r="F168" s="46">
        <v>50</v>
      </c>
      <c r="G168" s="4">
        <f>E168*$U$1</f>
        <v>628.9062499999999</v>
      </c>
      <c r="H168" s="46">
        <v>65000</v>
      </c>
      <c r="I168" s="42">
        <v>1</v>
      </c>
      <c r="J168" s="46">
        <f>I168*$J$1</f>
        <v>162.87062219999999</v>
      </c>
      <c r="K168" s="37">
        <f>(((E168)*$U$1)+J168)/D168</f>
        <v>0.008247675752083333</v>
      </c>
      <c r="L168" s="42"/>
    </row>
    <row r="169" spans="2:12" ht="12.75">
      <c r="B169" t="str">
        <f t="shared" si="21"/>
        <v>Grua</v>
      </c>
      <c r="C169" s="42" t="s">
        <v>218</v>
      </c>
      <c r="D169" s="46">
        <v>128000</v>
      </c>
      <c r="E169" s="4">
        <v>93.75</v>
      </c>
      <c r="F169" s="46">
        <v>60</v>
      </c>
      <c r="G169" s="4">
        <f>E169*$U$1</f>
        <v>754.6874999999999</v>
      </c>
      <c r="H169" s="46">
        <v>130000</v>
      </c>
      <c r="I169" s="42">
        <v>2</v>
      </c>
      <c r="J169" s="46">
        <f>I169*$J$1</f>
        <v>325.74124439999997</v>
      </c>
      <c r="K169" s="37">
        <f>(((E169)*$U$1)+J169)/D169</f>
        <v>0.008440849565624998</v>
      </c>
      <c r="L169" s="47">
        <f>SUM(K167:K169)</f>
        <v>0.029253212759374998</v>
      </c>
    </row>
    <row r="170" spans="2:11" ht="12.75" hidden="1">
      <c r="B170" t="str">
        <f t="shared" si="21"/>
        <v>TOTAL AUXILIO VIAL</v>
      </c>
      <c r="C170" s="210" t="s">
        <v>219</v>
      </c>
      <c r="D170" s="210"/>
      <c r="E170" s="210"/>
      <c r="F170" s="210"/>
      <c r="G170" s="210"/>
      <c r="H170" s="210"/>
      <c r="I170" s="210"/>
      <c r="J170" s="210"/>
      <c r="K170" s="210"/>
    </row>
    <row r="171" spans="2:12" ht="12.75">
      <c r="B171" t="str">
        <f aca="true" t="shared" si="27" ref="B171:B177">C171</f>
        <v>LATONERIA Y PINTURA:</v>
      </c>
      <c r="C171" s="50" t="s">
        <v>220</v>
      </c>
      <c r="D171" s="42"/>
      <c r="E171" s="48">
        <v>1</v>
      </c>
      <c r="F171" s="48">
        <v>1</v>
      </c>
      <c r="G171" s="49"/>
      <c r="H171" s="49"/>
      <c r="I171" s="48"/>
      <c r="J171" s="49"/>
      <c r="K171" s="42"/>
      <c r="L171" s="42"/>
    </row>
    <row r="172" spans="2:12" ht="12.75">
      <c r="B172" t="str">
        <f t="shared" si="27"/>
        <v>Camion</v>
      </c>
      <c r="C172" s="42" t="s">
        <v>221</v>
      </c>
      <c r="D172" s="46">
        <v>250000</v>
      </c>
      <c r="E172" s="4">
        <v>625</v>
      </c>
      <c r="F172" s="46">
        <v>400</v>
      </c>
      <c r="G172" s="4">
        <f>E172*$U$1</f>
        <v>5031.249999999999</v>
      </c>
      <c r="H172" s="46">
        <v>650000</v>
      </c>
      <c r="I172" s="42">
        <v>0</v>
      </c>
      <c r="J172" s="46">
        <v>0</v>
      </c>
      <c r="K172" s="37">
        <f>(((E172)*$U$1)+J172)/D172</f>
        <v>0.020124999999999997</v>
      </c>
      <c r="L172" s="47">
        <f>+K172</f>
        <v>0.020124999999999997</v>
      </c>
    </row>
    <row r="173" spans="2:11" ht="12.75" hidden="1">
      <c r="B173" t="str">
        <f t="shared" si="27"/>
        <v>TOTAL LATONERIA Y PINTURA</v>
      </c>
      <c r="C173" s="210" t="s">
        <v>222</v>
      </c>
      <c r="D173" s="210"/>
      <c r="E173" s="210"/>
      <c r="F173" s="210"/>
      <c r="G173" s="210"/>
      <c r="H173" s="210"/>
      <c r="I173" s="210"/>
      <c r="J173" s="210"/>
      <c r="K173" s="210"/>
    </row>
    <row r="174" spans="2:12" ht="12.75" hidden="1">
      <c r="B174" t="str">
        <f t="shared" si="27"/>
        <v>OTROS:</v>
      </c>
      <c r="C174" s="50" t="s">
        <v>223</v>
      </c>
      <c r="D174" s="42"/>
      <c r="E174" s="48">
        <v>1</v>
      </c>
      <c r="F174" s="48">
        <v>1</v>
      </c>
      <c r="G174" s="49">
        <v>1300</v>
      </c>
      <c r="H174" s="49"/>
      <c r="I174" s="48">
        <v>1</v>
      </c>
      <c r="J174" s="49">
        <v>28000</v>
      </c>
      <c r="K174" s="42"/>
      <c r="L174" s="42"/>
    </row>
    <row r="175" spans="2:12" ht="12.75" hidden="1">
      <c r="B175" t="str">
        <f t="shared" si="27"/>
        <v>Gasolina/Gasoil</v>
      </c>
      <c r="C175" s="42" t="s">
        <v>224</v>
      </c>
      <c r="D175" s="46">
        <v>2</v>
      </c>
      <c r="E175" s="46">
        <v>0.06153846153846154</v>
      </c>
      <c r="F175" s="46">
        <v>0.06153846153846154</v>
      </c>
      <c r="G175" s="46">
        <v>80</v>
      </c>
      <c r="H175" s="46"/>
      <c r="I175" s="42">
        <v>0</v>
      </c>
      <c r="J175" s="46">
        <v>0</v>
      </c>
      <c r="K175" s="37">
        <v>0</v>
      </c>
      <c r="L175" s="47"/>
    </row>
    <row r="176" spans="2:12" ht="12.75" hidden="1">
      <c r="B176" t="str">
        <f t="shared" si="27"/>
        <v>TOTAL OTROS</v>
      </c>
      <c r="C176" s="210" t="s">
        <v>225</v>
      </c>
      <c r="D176" s="210"/>
      <c r="E176" s="210"/>
      <c r="F176" s="210"/>
      <c r="G176" s="210"/>
      <c r="H176" s="210"/>
      <c r="I176" s="210"/>
      <c r="J176" s="210"/>
      <c r="K176" s="210"/>
      <c r="L176" s="47">
        <v>0</v>
      </c>
    </row>
    <row r="177" spans="2:14" ht="12.75">
      <c r="B177" t="str">
        <f t="shared" si="27"/>
        <v>TOTAL GASTOS OPERATIVOS VARIABLES</v>
      </c>
      <c r="C177" s="211" t="s">
        <v>226</v>
      </c>
      <c r="D177" s="211"/>
      <c r="E177" s="211"/>
      <c r="F177" s="211"/>
      <c r="G177" s="211"/>
      <c r="H177" s="211"/>
      <c r="I177" s="211"/>
      <c r="J177" s="211"/>
      <c r="K177" s="211"/>
      <c r="L177" s="52">
        <f>SUM(L107:L172)</f>
        <v>1.432217675100947</v>
      </c>
      <c r="M177" s="58">
        <f>M101</f>
        <v>0.1662217410552083</v>
      </c>
      <c r="N177" s="78">
        <f>L177+M177</f>
        <v>1.5984394161561553</v>
      </c>
    </row>
    <row r="178" spans="3:12" ht="12.75">
      <c r="C178" s="42"/>
      <c r="D178" s="42"/>
      <c r="E178" s="42"/>
      <c r="F178" s="42"/>
      <c r="G178" s="42"/>
      <c r="H178" s="42"/>
      <c r="I178" s="42"/>
      <c r="J178" s="42"/>
      <c r="K178" s="42"/>
      <c r="L178" s="42"/>
    </row>
    <row r="179" spans="3:12" ht="12.75">
      <c r="C179" s="42"/>
      <c r="D179" s="42"/>
      <c r="E179" s="42"/>
      <c r="F179" s="42"/>
      <c r="G179" s="42"/>
      <c r="H179" s="42"/>
      <c r="I179" s="42"/>
      <c r="J179" s="42"/>
      <c r="K179" s="42"/>
      <c r="L179" s="42"/>
    </row>
    <row r="180" spans="3:12" ht="20.25">
      <c r="C180" s="212" t="s">
        <v>227</v>
      </c>
      <c r="D180" s="212"/>
      <c r="E180" s="212"/>
      <c r="F180" s="212"/>
      <c r="G180" s="212"/>
      <c r="H180" s="212"/>
      <c r="I180" s="212"/>
      <c r="J180" s="212"/>
      <c r="K180" s="212"/>
      <c r="L180" s="212"/>
    </row>
    <row r="181" spans="3:12" ht="12.75">
      <c r="C181" s="39" t="s">
        <v>147</v>
      </c>
      <c r="D181" s="40">
        <v>37668</v>
      </c>
      <c r="E181" s="39" t="s">
        <v>148</v>
      </c>
      <c r="F181" s="39" t="s">
        <v>148</v>
      </c>
      <c r="G181" s="41"/>
      <c r="H181" s="41"/>
      <c r="I181" s="42"/>
      <c r="J181" s="54">
        <f>J1</f>
        <v>162.87062219999999</v>
      </c>
      <c r="K181" s="42"/>
      <c r="L181" s="42"/>
    </row>
    <row r="182" spans="2:12" ht="12.75">
      <c r="B182" s="43" t="s">
        <v>234</v>
      </c>
      <c r="C182" s="208" t="s">
        <v>51</v>
      </c>
      <c r="D182" s="43" t="s">
        <v>149</v>
      </c>
      <c r="E182" s="209" t="s">
        <v>150</v>
      </c>
      <c r="F182" s="209"/>
      <c r="G182" s="209"/>
      <c r="H182" s="43"/>
      <c r="I182" s="209" t="s">
        <v>151</v>
      </c>
      <c r="J182" s="209"/>
      <c r="K182" s="43" t="s">
        <v>152</v>
      </c>
      <c r="L182" s="43" t="s">
        <v>58</v>
      </c>
    </row>
    <row r="183" spans="3:12" ht="12.75">
      <c r="C183" s="208"/>
      <c r="D183" s="44" t="s">
        <v>153</v>
      </c>
      <c r="E183" s="44" t="s">
        <v>54</v>
      </c>
      <c r="F183" s="44" t="s">
        <v>54</v>
      </c>
      <c r="G183" s="44" t="s">
        <v>55</v>
      </c>
      <c r="H183" s="44"/>
      <c r="I183" s="44" t="s">
        <v>56</v>
      </c>
      <c r="J183" s="44" t="s">
        <v>55</v>
      </c>
      <c r="K183" s="44" t="s">
        <v>62</v>
      </c>
      <c r="L183" s="44" t="s">
        <v>154</v>
      </c>
    </row>
    <row r="184" spans="2:12" ht="12.75" hidden="1">
      <c r="B184" t="str">
        <f>C184</f>
        <v>SISTEMA ELECTRICO:</v>
      </c>
      <c r="C184" s="45" t="s">
        <v>155</v>
      </c>
      <c r="D184" s="42"/>
      <c r="E184" s="42">
        <v>0</v>
      </c>
      <c r="F184" s="42">
        <v>0</v>
      </c>
      <c r="G184" s="46">
        <v>0</v>
      </c>
      <c r="H184" s="46"/>
      <c r="I184" s="42"/>
      <c r="J184" s="46"/>
      <c r="K184" s="42"/>
      <c r="L184" s="42"/>
    </row>
    <row r="185" spans="2:12" ht="12.75">
      <c r="B185" t="str">
        <f aca="true" t="shared" si="28" ref="B185:B248">C185</f>
        <v>Aire Acondicionado</v>
      </c>
      <c r="C185" s="42" t="s">
        <v>156</v>
      </c>
      <c r="D185" s="46">
        <v>200000</v>
      </c>
      <c r="E185" s="4">
        <v>306.4903846153846</v>
      </c>
      <c r="F185" s="46">
        <v>196.15384615384616</v>
      </c>
      <c r="G185" s="4">
        <f aca="true" t="shared" si="29" ref="G185:G192">E185*$U$1</f>
        <v>2467.2475961538457</v>
      </c>
      <c r="H185" s="46">
        <v>255000</v>
      </c>
      <c r="I185" s="42">
        <v>4.5</v>
      </c>
      <c r="J185" s="46">
        <f>I185*$J$181</f>
        <v>732.9177999</v>
      </c>
      <c r="K185" s="37">
        <f aca="true" t="shared" si="30" ref="K185:K192">(((E185)*$U$1)+J185)/D185</f>
        <v>0.01600082698026923</v>
      </c>
      <c r="L185" s="42"/>
    </row>
    <row r="186" spans="2:12" ht="12.75">
      <c r="B186" t="str">
        <f t="shared" si="28"/>
        <v>Manometros</v>
      </c>
      <c r="C186" s="42" t="s">
        <v>157</v>
      </c>
      <c r="D186" s="46">
        <v>160000</v>
      </c>
      <c r="E186" s="4">
        <v>78.125</v>
      </c>
      <c r="F186" s="46">
        <v>50</v>
      </c>
      <c r="G186" s="4">
        <f t="shared" si="29"/>
        <v>628.9062499999999</v>
      </c>
      <c r="H186" s="46">
        <v>65000</v>
      </c>
      <c r="I186" s="42">
        <v>4</v>
      </c>
      <c r="J186" s="46">
        <f aca="true" t="shared" si="31" ref="J186:J192">I186*$J$181</f>
        <v>651.4824887999999</v>
      </c>
      <c r="K186" s="37">
        <f t="shared" si="30"/>
        <v>0.0080024296175</v>
      </c>
      <c r="L186" s="42"/>
    </row>
    <row r="187" spans="2:12" ht="12.75">
      <c r="B187" t="s">
        <v>237</v>
      </c>
      <c r="C187" s="42" t="s">
        <v>158</v>
      </c>
      <c r="D187" s="46">
        <v>128000</v>
      </c>
      <c r="E187" s="4">
        <v>21.634615384615387</v>
      </c>
      <c r="F187" s="46">
        <v>13.846153846153847</v>
      </c>
      <c r="G187" s="4">
        <f t="shared" si="29"/>
        <v>174.15865384615384</v>
      </c>
      <c r="H187" s="46">
        <v>18000</v>
      </c>
      <c r="I187" s="42">
        <v>1.5</v>
      </c>
      <c r="J187" s="46">
        <f t="shared" si="31"/>
        <v>244.3059333</v>
      </c>
      <c r="K187" s="37">
        <f t="shared" si="30"/>
        <v>0.0032692545870793266</v>
      </c>
      <c r="L187" s="42"/>
    </row>
    <row r="188" spans="2:12" ht="12.75">
      <c r="B188" t="str">
        <f t="shared" si="28"/>
        <v>Luces</v>
      </c>
      <c r="C188" s="42" t="s">
        <v>159</v>
      </c>
      <c r="D188" s="46">
        <v>160000</v>
      </c>
      <c r="E188" s="4">
        <v>84.13461538461539</v>
      </c>
      <c r="F188" s="46">
        <v>53.84615384615385</v>
      </c>
      <c r="G188" s="4">
        <f t="shared" si="29"/>
        <v>677.2836538461538</v>
      </c>
      <c r="H188" s="46">
        <v>70000</v>
      </c>
      <c r="I188" s="42">
        <v>1</v>
      </c>
      <c r="J188" s="46">
        <f t="shared" si="31"/>
        <v>162.87062219999999</v>
      </c>
      <c r="K188" s="37">
        <f t="shared" si="30"/>
        <v>0.005250964225288461</v>
      </c>
      <c r="L188" s="42"/>
    </row>
    <row r="189" spans="2:12" ht="12.75">
      <c r="B189" t="str">
        <f t="shared" si="28"/>
        <v>Accesorios</v>
      </c>
      <c r="C189" s="42" t="s">
        <v>160</v>
      </c>
      <c r="D189" s="46">
        <v>160000</v>
      </c>
      <c r="E189" s="4">
        <v>108.17307692307692</v>
      </c>
      <c r="F189" s="46">
        <v>69.23076923076923</v>
      </c>
      <c r="G189" s="4">
        <f t="shared" si="29"/>
        <v>870.793269230769</v>
      </c>
      <c r="H189" s="46">
        <v>90000</v>
      </c>
      <c r="I189" s="42">
        <v>2</v>
      </c>
      <c r="J189" s="46">
        <f t="shared" si="31"/>
        <v>325.74124439999997</v>
      </c>
      <c r="K189" s="37">
        <f t="shared" si="30"/>
        <v>0.007478340710192306</v>
      </c>
      <c r="L189" s="42"/>
    </row>
    <row r="190" spans="2:12" ht="12.75">
      <c r="B190" t="str">
        <f t="shared" si="28"/>
        <v>Arranque</v>
      </c>
      <c r="C190" s="42" t="s">
        <v>161</v>
      </c>
      <c r="D190" s="46">
        <v>72000</v>
      </c>
      <c r="E190" s="4">
        <v>132.21153846153845</v>
      </c>
      <c r="F190" s="46">
        <v>84.61538461538461</v>
      </c>
      <c r="G190" s="4">
        <f t="shared" si="29"/>
        <v>1064.3028846153843</v>
      </c>
      <c r="H190" s="46">
        <v>110000</v>
      </c>
      <c r="I190" s="42">
        <v>2</v>
      </c>
      <c r="J190" s="46">
        <f t="shared" si="31"/>
        <v>325.74124439999997</v>
      </c>
      <c r="K190" s="37">
        <f t="shared" si="30"/>
        <v>0.019306168458547004</v>
      </c>
      <c r="L190" s="42"/>
    </row>
    <row r="191" spans="2:12" ht="12.75">
      <c r="B191" t="str">
        <f t="shared" si="28"/>
        <v>Alternador</v>
      </c>
      <c r="C191" s="42" t="s">
        <v>162</v>
      </c>
      <c r="D191" s="46">
        <v>72000</v>
      </c>
      <c r="E191" s="4">
        <v>204.3269230769231</v>
      </c>
      <c r="F191" s="46">
        <v>130.76923076923077</v>
      </c>
      <c r="G191" s="4">
        <f t="shared" si="29"/>
        <v>1644.8317307692307</v>
      </c>
      <c r="H191" s="46">
        <v>170000</v>
      </c>
      <c r="I191" s="42">
        <v>1.5</v>
      </c>
      <c r="J191" s="46">
        <f t="shared" si="31"/>
        <v>244.3059333</v>
      </c>
      <c r="K191" s="37">
        <f t="shared" si="30"/>
        <v>0.026238023112072646</v>
      </c>
      <c r="L191" s="42"/>
    </row>
    <row r="192" spans="2:12" ht="12.75">
      <c r="B192" t="str">
        <f t="shared" si="28"/>
        <v>Baterias</v>
      </c>
      <c r="C192" s="42" t="s">
        <v>163</v>
      </c>
      <c r="D192" s="46">
        <v>72000</v>
      </c>
      <c r="E192" s="4">
        <v>120.1923076923077</v>
      </c>
      <c r="F192" s="46">
        <v>76.92307692307692</v>
      </c>
      <c r="G192" s="4">
        <f t="shared" si="29"/>
        <v>967.5480769230768</v>
      </c>
      <c r="H192" s="46">
        <v>100000</v>
      </c>
      <c r="I192" s="42">
        <v>1</v>
      </c>
      <c r="J192" s="46">
        <f t="shared" si="31"/>
        <v>162.87062219999999</v>
      </c>
      <c r="K192" s="37">
        <f t="shared" si="30"/>
        <v>0.015700259710042734</v>
      </c>
      <c r="L192" s="42"/>
    </row>
    <row r="193" spans="2:12" ht="12.75">
      <c r="B193" t="str">
        <f t="shared" si="28"/>
        <v>TOTAL SISTEMA ELECTRICO:</v>
      </c>
      <c r="C193" s="210" t="s">
        <v>164</v>
      </c>
      <c r="D193" s="210"/>
      <c r="E193" s="210"/>
      <c r="F193" s="210"/>
      <c r="G193" s="210"/>
      <c r="H193" s="210"/>
      <c r="I193" s="210"/>
      <c r="J193" s="210"/>
      <c r="K193" s="210"/>
      <c r="L193" s="47">
        <f>SUM(K185:K192)</f>
        <v>0.10124626740099171</v>
      </c>
    </row>
    <row r="194" spans="2:12" ht="12.75" hidden="1">
      <c r="B194" t="str">
        <f t="shared" si="28"/>
        <v>FRENOS:</v>
      </c>
      <c r="C194" s="45" t="s">
        <v>165</v>
      </c>
      <c r="D194" s="42"/>
      <c r="E194" s="48">
        <v>1</v>
      </c>
      <c r="F194" s="48">
        <v>1</v>
      </c>
      <c r="G194" s="49">
        <v>1300</v>
      </c>
      <c r="H194" s="49"/>
      <c r="I194" s="48">
        <v>1</v>
      </c>
      <c r="J194" s="49">
        <v>28000</v>
      </c>
      <c r="K194" s="42"/>
      <c r="L194" s="42"/>
    </row>
    <row r="195" spans="2:12" ht="12.75">
      <c r="B195" t="str">
        <f t="shared" si="28"/>
        <v>Reparacion Menor</v>
      </c>
      <c r="C195" s="42" t="s">
        <v>166</v>
      </c>
      <c r="D195" s="46">
        <v>60000</v>
      </c>
      <c r="E195" s="4">
        <v>117.1875</v>
      </c>
      <c r="F195" s="46">
        <v>75</v>
      </c>
      <c r="G195" s="4">
        <f>E195*$U$1</f>
        <v>943.3593749999999</v>
      </c>
      <c r="H195" s="46">
        <v>130000</v>
      </c>
      <c r="I195" s="42">
        <v>5</v>
      </c>
      <c r="J195" s="46">
        <f>I195*$J$181</f>
        <v>814.3531109999999</v>
      </c>
      <c r="K195" s="37">
        <f>(((E195)*$U$1)+J195)/D195</f>
        <v>0.029295208099999998</v>
      </c>
      <c r="L195" s="42"/>
    </row>
    <row r="196" spans="2:12" ht="12.75">
      <c r="B196" t="str">
        <f t="shared" si="28"/>
        <v>Reparacion Mayor</v>
      </c>
      <c r="C196" s="42" t="s">
        <v>167</v>
      </c>
      <c r="D196" s="46">
        <v>120000</v>
      </c>
      <c r="E196" s="4">
        <v>390.625</v>
      </c>
      <c r="F196" s="46">
        <v>250</v>
      </c>
      <c r="G196" s="4">
        <f>E196*$U$1</f>
        <v>3144.5312499999995</v>
      </c>
      <c r="H196" s="46">
        <v>555000</v>
      </c>
      <c r="I196" s="42">
        <v>11.5</v>
      </c>
      <c r="J196" s="46">
        <f>I196*$J$181</f>
        <v>1873.0121553</v>
      </c>
      <c r="K196" s="37">
        <f>(((E196)*$U$1)+J196)/D196</f>
        <v>0.04181286171083332</v>
      </c>
      <c r="L196" s="42"/>
    </row>
    <row r="197" spans="2:12" ht="12.75">
      <c r="B197" t="str">
        <f t="shared" si="28"/>
        <v>Ajustes</v>
      </c>
      <c r="C197" s="42" t="s">
        <v>168</v>
      </c>
      <c r="D197" s="46">
        <v>32000</v>
      </c>
      <c r="E197" s="4">
        <v>36.05769230769231</v>
      </c>
      <c r="F197" s="46">
        <v>23.076923076923077</v>
      </c>
      <c r="G197" s="4">
        <f>E197*$U$1</f>
        <v>290.26442307692304</v>
      </c>
      <c r="H197" s="46">
        <v>30000</v>
      </c>
      <c r="I197" s="42">
        <v>1</v>
      </c>
      <c r="J197" s="46">
        <f>I197*$J$181</f>
        <v>162.87062219999999</v>
      </c>
      <c r="K197" s="37">
        <f>(((E197)*$U$1)+J197)/D197</f>
        <v>0.014160470164903845</v>
      </c>
      <c r="L197" s="42"/>
    </row>
    <row r="198" spans="2:12" ht="12.75">
      <c r="B198" t="str">
        <f t="shared" si="28"/>
        <v>Tambores</v>
      </c>
      <c r="C198" s="42" t="s">
        <v>169</v>
      </c>
      <c r="D198" s="46">
        <v>140000</v>
      </c>
      <c r="E198" s="4">
        <v>156.25</v>
      </c>
      <c r="F198" s="46">
        <v>100</v>
      </c>
      <c r="G198" s="4">
        <f>E198*$U$1</f>
        <v>1257.8124999999998</v>
      </c>
      <c r="H198" s="46">
        <v>280000</v>
      </c>
      <c r="I198" s="42">
        <v>1</v>
      </c>
      <c r="J198" s="46">
        <f>I198*$J$181</f>
        <v>162.87062219999999</v>
      </c>
      <c r="K198" s="37">
        <f>(((E198)*$U$1)+J198)/D198</f>
        <v>0.010147736587142856</v>
      </c>
      <c r="L198" s="42"/>
    </row>
    <row r="199" spans="2:12" ht="12.75">
      <c r="B199" t="str">
        <f t="shared" si="28"/>
        <v>Valvulas</v>
      </c>
      <c r="C199" s="42" t="s">
        <v>170</v>
      </c>
      <c r="D199" s="46">
        <v>120000</v>
      </c>
      <c r="E199" s="4">
        <v>168.26923076923077</v>
      </c>
      <c r="F199" s="46">
        <v>107.6923076923077</v>
      </c>
      <c r="G199" s="4">
        <f>E199*$U$1</f>
        <v>1354.5673076923076</v>
      </c>
      <c r="H199" s="46">
        <v>140000</v>
      </c>
      <c r="I199" s="42">
        <v>1</v>
      </c>
      <c r="J199" s="46">
        <f>I199*$J$181</f>
        <v>162.87062219999999</v>
      </c>
      <c r="K199" s="37">
        <f>(((E199)*$U$1)+J199)/D199</f>
        <v>0.012645316082435897</v>
      </c>
      <c r="L199" s="42"/>
    </row>
    <row r="200" spans="2:12" ht="12.75">
      <c r="B200" t="str">
        <f t="shared" si="28"/>
        <v>TOTAL FRENOS</v>
      </c>
      <c r="C200" s="210" t="s">
        <v>171</v>
      </c>
      <c r="D200" s="210"/>
      <c r="E200" s="210"/>
      <c r="F200" s="210"/>
      <c r="G200" s="210"/>
      <c r="H200" s="210"/>
      <c r="I200" s="210"/>
      <c r="J200" s="210"/>
      <c r="K200" s="210"/>
      <c r="L200" s="47">
        <f>SUM(K195:K199)</f>
        <v>0.10806159264531591</v>
      </c>
    </row>
    <row r="201" spans="2:12" ht="12.75" hidden="1">
      <c r="B201" t="str">
        <f t="shared" si="28"/>
        <v>SUSPENSIÓN Y RESORTES:</v>
      </c>
      <c r="C201" s="50" t="s">
        <v>172</v>
      </c>
      <c r="D201" s="42"/>
      <c r="E201" s="48">
        <v>1</v>
      </c>
      <c r="F201" s="48">
        <v>1</v>
      </c>
      <c r="G201" s="49">
        <v>1300</v>
      </c>
      <c r="H201" s="49"/>
      <c r="I201" s="48">
        <v>1</v>
      </c>
      <c r="J201" s="49">
        <v>28000</v>
      </c>
      <c r="K201" s="42"/>
      <c r="L201" s="42"/>
    </row>
    <row r="202" spans="2:12" ht="12.75">
      <c r="B202" t="str">
        <f t="shared" si="28"/>
        <v>Resortes</v>
      </c>
      <c r="C202" s="42" t="s">
        <v>173</v>
      </c>
      <c r="D202" s="46">
        <v>120000</v>
      </c>
      <c r="E202" s="4">
        <v>156.25</v>
      </c>
      <c r="F202" s="46">
        <v>100</v>
      </c>
      <c r="G202" s="4">
        <f>E202*$U$1</f>
        <v>1257.8124999999998</v>
      </c>
      <c r="H202" s="46">
        <v>130000</v>
      </c>
      <c r="I202" s="42">
        <v>5</v>
      </c>
      <c r="J202" s="46">
        <f>I202*$J$181</f>
        <v>814.3531109999999</v>
      </c>
      <c r="K202" s="37">
        <f>(((E202)*$U$1)+J202)/D202</f>
        <v>0.01726804675833333</v>
      </c>
      <c r="L202" s="42"/>
    </row>
    <row r="203" spans="2:12" ht="12.75">
      <c r="B203" t="str">
        <f t="shared" si="28"/>
        <v>Suspension</v>
      </c>
      <c r="C203" s="42" t="s">
        <v>174</v>
      </c>
      <c r="D203" s="46">
        <v>72000</v>
      </c>
      <c r="E203" s="4">
        <v>425.4807692307692</v>
      </c>
      <c r="F203" s="46">
        <v>272.3076923076923</v>
      </c>
      <c r="G203" s="4">
        <f>E203*$U$1</f>
        <v>3425.120192307692</v>
      </c>
      <c r="H203" s="46">
        <v>354000</v>
      </c>
      <c r="I203" s="42">
        <v>10</v>
      </c>
      <c r="J203" s="46">
        <f>I203*$J$181</f>
        <v>1628.7062219999998</v>
      </c>
      <c r="K203" s="37">
        <f>(((E203)*$U$1)+J203)/D203</f>
        <v>0.07019203353205128</v>
      </c>
      <c r="L203" s="42"/>
    </row>
    <row r="204" spans="2:12" ht="12.75">
      <c r="B204" t="str">
        <f t="shared" si="28"/>
        <v>TOTAL SUSPENSION Y RESORTES</v>
      </c>
      <c r="C204" s="210" t="s">
        <v>175</v>
      </c>
      <c r="D204" s="210"/>
      <c r="E204" s="210"/>
      <c r="F204" s="210"/>
      <c r="G204" s="210"/>
      <c r="H204" s="210"/>
      <c r="I204" s="210"/>
      <c r="J204" s="210"/>
      <c r="K204" s="210"/>
      <c r="L204" s="47">
        <f>+K202+K203</f>
        <v>0.0874600802903846</v>
      </c>
    </row>
    <row r="205" spans="2:12" ht="12.75" hidden="1">
      <c r="B205" t="str">
        <f t="shared" si="28"/>
        <v>EJE DE CARGA:</v>
      </c>
      <c r="C205" s="50" t="s">
        <v>176</v>
      </c>
      <c r="D205" s="42"/>
      <c r="E205" s="48">
        <v>1</v>
      </c>
      <c r="F205" s="48">
        <v>1</v>
      </c>
      <c r="G205" s="49">
        <v>1300</v>
      </c>
      <c r="H205" s="49"/>
      <c r="I205" s="48">
        <v>1</v>
      </c>
      <c r="J205" s="49">
        <v>28000</v>
      </c>
      <c r="K205" s="42"/>
      <c r="L205" s="42"/>
    </row>
    <row r="206" spans="2:12" ht="12.75" hidden="1">
      <c r="B206">
        <f t="shared" si="28"/>
        <v>0</v>
      </c>
      <c r="C206" s="50"/>
      <c r="D206" s="42"/>
      <c r="E206" s="42"/>
      <c r="F206" s="42"/>
      <c r="G206" s="46"/>
      <c r="H206" s="46"/>
      <c r="I206" s="42"/>
      <c r="J206" s="46"/>
      <c r="K206" s="42"/>
      <c r="L206" s="42"/>
    </row>
    <row r="207" spans="2:12" ht="12.75">
      <c r="B207" t="str">
        <f t="shared" si="28"/>
        <v>Direccion</v>
      </c>
      <c r="C207" s="42" t="s">
        <v>177</v>
      </c>
      <c r="D207" s="46">
        <v>140000</v>
      </c>
      <c r="E207" s="4">
        <v>312.5</v>
      </c>
      <c r="F207" s="46">
        <v>200</v>
      </c>
      <c r="G207" s="4">
        <f aca="true" t="shared" si="32" ref="G207:G214">E207*$U$1</f>
        <v>2515.6249999999995</v>
      </c>
      <c r="H207" s="46">
        <v>325000</v>
      </c>
      <c r="I207" s="42">
        <v>7</v>
      </c>
      <c r="J207" s="46">
        <f aca="true" t="shared" si="33" ref="J207:J214">I207*$J$181</f>
        <v>1140.0943553999998</v>
      </c>
      <c r="K207" s="37">
        <f aca="true" t="shared" si="34" ref="K207:K214">(((E207)*$U$1)+J207)/D207</f>
        <v>0.026112281109999996</v>
      </c>
      <c r="L207" s="42"/>
    </row>
    <row r="208" spans="2:12" ht="12.75" hidden="1">
      <c r="B208" t="str">
        <f t="shared" si="28"/>
        <v>Pin</v>
      </c>
      <c r="C208" s="42" t="s">
        <v>178</v>
      </c>
      <c r="D208" s="46">
        <v>0</v>
      </c>
      <c r="E208" s="4">
        <v>0</v>
      </c>
      <c r="F208" s="46">
        <v>0</v>
      </c>
      <c r="G208" s="4">
        <f t="shared" si="32"/>
        <v>0</v>
      </c>
      <c r="H208" s="46">
        <v>0</v>
      </c>
      <c r="I208" s="42"/>
      <c r="J208" s="46"/>
      <c r="K208" s="37"/>
      <c r="L208" s="42"/>
    </row>
    <row r="209" spans="2:12" ht="12.75">
      <c r="B209" t="str">
        <f t="shared" si="28"/>
        <v>Clutch</v>
      </c>
      <c r="C209" s="42" t="s">
        <v>179</v>
      </c>
      <c r="D209" s="46">
        <v>120000</v>
      </c>
      <c r="E209" s="4">
        <v>390.625</v>
      </c>
      <c r="F209" s="46">
        <v>250</v>
      </c>
      <c r="G209" s="4">
        <f t="shared" si="32"/>
        <v>3144.5312499999995</v>
      </c>
      <c r="H209" s="46">
        <v>340000</v>
      </c>
      <c r="I209" s="42">
        <v>8</v>
      </c>
      <c r="J209" s="46">
        <f t="shared" si="33"/>
        <v>1302.9649775999999</v>
      </c>
      <c r="K209" s="37">
        <f t="shared" si="34"/>
        <v>0.03706246856333333</v>
      </c>
      <c r="L209" s="42"/>
    </row>
    <row r="210" spans="2:12" ht="12.75">
      <c r="B210" t="str">
        <f t="shared" si="28"/>
        <v>Diferencial</v>
      </c>
      <c r="C210" s="42" t="s">
        <v>180</v>
      </c>
      <c r="D210" s="46">
        <v>200000</v>
      </c>
      <c r="E210" s="4">
        <v>546.875</v>
      </c>
      <c r="F210" s="46">
        <v>350</v>
      </c>
      <c r="G210" s="4">
        <f t="shared" si="32"/>
        <v>4402.343749999999</v>
      </c>
      <c r="H210" s="46">
        <v>650000</v>
      </c>
      <c r="I210" s="42">
        <v>25</v>
      </c>
      <c r="J210" s="46">
        <f t="shared" si="33"/>
        <v>4071.7655549999995</v>
      </c>
      <c r="K210" s="37">
        <f t="shared" si="34"/>
        <v>0.04237054652499999</v>
      </c>
      <c r="L210" s="42"/>
    </row>
    <row r="211" spans="2:12" ht="12.75">
      <c r="B211" t="str">
        <f t="shared" si="28"/>
        <v>Caja</v>
      </c>
      <c r="C211" s="42" t="s">
        <v>181</v>
      </c>
      <c r="D211" s="46">
        <v>120000</v>
      </c>
      <c r="E211" s="4">
        <v>1141.8269230769229</v>
      </c>
      <c r="F211" s="46">
        <v>730.7692307692307</v>
      </c>
      <c r="G211" s="4">
        <f t="shared" si="32"/>
        <v>9191.706730769229</v>
      </c>
      <c r="H211" s="46">
        <v>950000</v>
      </c>
      <c r="I211" s="42">
        <v>14</v>
      </c>
      <c r="J211" s="46">
        <f t="shared" si="33"/>
        <v>2280.1887107999996</v>
      </c>
      <c r="K211" s="37">
        <f t="shared" si="34"/>
        <v>0.09559912867974356</v>
      </c>
      <c r="L211" s="42"/>
    </row>
    <row r="212" spans="2:12" ht="12.75">
      <c r="B212" t="str">
        <f t="shared" si="28"/>
        <v>Cardan</v>
      </c>
      <c r="C212" s="42" t="s">
        <v>182</v>
      </c>
      <c r="D212" s="46">
        <v>120000</v>
      </c>
      <c r="E212" s="4">
        <v>156.25</v>
      </c>
      <c r="F212" s="46">
        <v>100</v>
      </c>
      <c r="G212" s="4">
        <f t="shared" si="32"/>
        <v>1257.8124999999998</v>
      </c>
      <c r="H212" s="46">
        <v>180000</v>
      </c>
      <c r="I212" s="42">
        <v>2</v>
      </c>
      <c r="J212" s="46">
        <f t="shared" si="33"/>
        <v>325.74124439999997</v>
      </c>
      <c r="K212" s="37">
        <f t="shared" si="34"/>
        <v>0.01319628120333333</v>
      </c>
      <c r="L212" s="42"/>
    </row>
    <row r="213" spans="2:12" ht="12.75" hidden="1">
      <c r="B213" t="str">
        <f t="shared" si="28"/>
        <v>Eje de Carga Delantero</v>
      </c>
      <c r="C213" s="42" t="s">
        <v>183</v>
      </c>
      <c r="D213" s="46">
        <v>0</v>
      </c>
      <c r="E213" s="4">
        <v>234.375</v>
      </c>
      <c r="F213" s="46">
        <v>150</v>
      </c>
      <c r="G213" s="4">
        <f t="shared" si="32"/>
        <v>1886.7187499999998</v>
      </c>
      <c r="H213" s="46">
        <v>260000</v>
      </c>
      <c r="I213" s="42"/>
      <c r="J213" s="46"/>
      <c r="K213" s="37"/>
      <c r="L213" s="42"/>
    </row>
    <row r="214" spans="2:12" ht="12.75">
      <c r="B214" t="str">
        <f t="shared" si="28"/>
        <v>Eje de Carga Trasero</v>
      </c>
      <c r="C214" s="42" t="s">
        <v>184</v>
      </c>
      <c r="D214" s="46">
        <v>200000</v>
      </c>
      <c r="E214" s="4">
        <v>546.875</v>
      </c>
      <c r="F214" s="46">
        <v>350</v>
      </c>
      <c r="G214" s="4">
        <f t="shared" si="32"/>
        <v>4402.343749999999</v>
      </c>
      <c r="H214" s="46">
        <v>650000</v>
      </c>
      <c r="I214" s="42">
        <v>6</v>
      </c>
      <c r="J214" s="46">
        <f t="shared" si="33"/>
        <v>977.2237332</v>
      </c>
      <c r="K214" s="37">
        <f t="shared" si="34"/>
        <v>0.026897837415999992</v>
      </c>
      <c r="L214" s="42"/>
    </row>
    <row r="215" spans="2:12" ht="12.75">
      <c r="B215" t="str">
        <f t="shared" si="28"/>
        <v>TOTAL EJE DE CARGA</v>
      </c>
      <c r="C215" s="210" t="s">
        <v>185</v>
      </c>
      <c r="D215" s="210"/>
      <c r="E215" s="210"/>
      <c r="F215" s="210"/>
      <c r="G215" s="210"/>
      <c r="H215" s="210"/>
      <c r="I215" s="210"/>
      <c r="J215" s="210"/>
      <c r="K215" s="210"/>
      <c r="L215" s="47">
        <f>SUM(K207:K214)</f>
        <v>0.2412385434974102</v>
      </c>
    </row>
    <row r="216" spans="2:12" ht="12.75" hidden="1">
      <c r="B216" t="str">
        <f t="shared" si="28"/>
        <v>MOTOR:</v>
      </c>
      <c r="C216" s="50" t="s">
        <v>186</v>
      </c>
      <c r="D216" s="42"/>
      <c r="E216" s="48">
        <v>1</v>
      </c>
      <c r="F216" s="48">
        <v>1</v>
      </c>
      <c r="G216" s="49">
        <v>1300</v>
      </c>
      <c r="H216" s="49"/>
      <c r="I216" s="48">
        <v>1</v>
      </c>
      <c r="J216" s="49">
        <v>28000</v>
      </c>
      <c r="K216" s="42"/>
      <c r="L216" s="42"/>
    </row>
    <row r="217" spans="2:12" ht="12.75">
      <c r="B217" t="str">
        <f t="shared" si="28"/>
        <v>Motor</v>
      </c>
      <c r="C217" s="42" t="s">
        <v>187</v>
      </c>
      <c r="D217" s="51">
        <v>250000</v>
      </c>
      <c r="E217" s="4">
        <v>1502.4038461538462</v>
      </c>
      <c r="F217" s="46">
        <v>961.5384615384615</v>
      </c>
      <c r="G217" s="4">
        <f aca="true" t="shared" si="35" ref="G217:G228">E217*$U$1</f>
        <v>12094.350961538461</v>
      </c>
      <c r="H217" s="51">
        <v>1250000</v>
      </c>
      <c r="I217" s="42">
        <v>25</v>
      </c>
      <c r="J217" s="46">
        <f aca="true" t="shared" si="36" ref="J217:J228">I217*$J$181</f>
        <v>4071.7655549999995</v>
      </c>
      <c r="K217" s="37">
        <f aca="true" t="shared" si="37" ref="K217:K228">(((E217)*$U$1)+J217)/D217</f>
        <v>0.06466446606615385</v>
      </c>
      <c r="L217" s="42"/>
    </row>
    <row r="218" spans="2:12" ht="12.75">
      <c r="B218" t="str">
        <f t="shared" si="28"/>
        <v>Bomba de Agua</v>
      </c>
      <c r="C218" s="42" t="s">
        <v>188</v>
      </c>
      <c r="D218" s="46">
        <v>72000</v>
      </c>
      <c r="E218" s="4">
        <v>156.25</v>
      </c>
      <c r="F218" s="46">
        <v>100</v>
      </c>
      <c r="G218" s="4">
        <f t="shared" si="35"/>
        <v>1257.8124999999998</v>
      </c>
      <c r="H218" s="46">
        <v>130000</v>
      </c>
      <c r="I218" s="42">
        <v>3</v>
      </c>
      <c r="J218" s="46">
        <f t="shared" si="36"/>
        <v>488.6118666</v>
      </c>
      <c r="K218" s="37">
        <f t="shared" si="37"/>
        <v>0.02425589398055555</v>
      </c>
      <c r="L218" s="42"/>
    </row>
    <row r="219" spans="2:12" ht="12.75">
      <c r="B219" t="str">
        <f t="shared" si="28"/>
        <v>Purificador de Aire</v>
      </c>
      <c r="C219" s="42" t="s">
        <v>189</v>
      </c>
      <c r="D219" s="46">
        <v>60000</v>
      </c>
      <c r="E219" s="4">
        <v>78.125</v>
      </c>
      <c r="F219" s="46">
        <v>50</v>
      </c>
      <c r="G219" s="4">
        <f t="shared" si="35"/>
        <v>628.9062499999999</v>
      </c>
      <c r="H219" s="46">
        <v>65000</v>
      </c>
      <c r="I219" s="42">
        <v>1</v>
      </c>
      <c r="J219" s="46">
        <f t="shared" si="36"/>
        <v>162.87062219999999</v>
      </c>
      <c r="K219" s="37">
        <f t="shared" si="37"/>
        <v>0.01319628120333333</v>
      </c>
      <c r="L219" s="42"/>
    </row>
    <row r="220" spans="2:12" ht="12.75">
      <c r="B220" t="str">
        <f t="shared" si="28"/>
        <v>Radiador</v>
      </c>
      <c r="C220" s="42" t="s">
        <v>190</v>
      </c>
      <c r="D220" s="46">
        <v>72000</v>
      </c>
      <c r="E220" s="4">
        <v>216.34615384615384</v>
      </c>
      <c r="F220" s="46">
        <v>138.46153846153845</v>
      </c>
      <c r="G220" s="4">
        <f t="shared" si="35"/>
        <v>1741.586538461538</v>
      </c>
      <c r="H220" s="46">
        <v>180000</v>
      </c>
      <c r="I220" s="42">
        <v>6</v>
      </c>
      <c r="J220" s="46">
        <f t="shared" si="36"/>
        <v>977.2237332</v>
      </c>
      <c r="K220" s="37">
        <f t="shared" si="37"/>
        <v>0.03776125377307692</v>
      </c>
      <c r="L220" s="42"/>
    </row>
    <row r="221" spans="2:12" ht="12.75">
      <c r="B221" t="str">
        <f t="shared" si="28"/>
        <v>Entonacion</v>
      </c>
      <c r="C221" s="42" t="s">
        <v>191</v>
      </c>
      <c r="D221" s="46">
        <v>72000</v>
      </c>
      <c r="E221" s="4">
        <v>48.07692307692307</v>
      </c>
      <c r="F221" s="46">
        <v>30.76923076923077</v>
      </c>
      <c r="G221" s="4">
        <f t="shared" si="35"/>
        <v>387.01923076923066</v>
      </c>
      <c r="H221" s="46">
        <v>40000</v>
      </c>
      <c r="I221" s="42">
        <v>3</v>
      </c>
      <c r="J221" s="46">
        <f t="shared" si="36"/>
        <v>488.6118666</v>
      </c>
      <c r="K221" s="37">
        <f t="shared" si="37"/>
        <v>0.012161543019017094</v>
      </c>
      <c r="L221" s="42"/>
    </row>
    <row r="222" spans="2:12" ht="12.75" hidden="1">
      <c r="B222" t="str">
        <f t="shared" si="28"/>
        <v>Overhaul</v>
      </c>
      <c r="C222" s="42" t="s">
        <v>192</v>
      </c>
      <c r="D222" s="46">
        <v>0</v>
      </c>
      <c r="E222" s="4">
        <v>0</v>
      </c>
      <c r="F222" s="46">
        <v>0</v>
      </c>
      <c r="G222" s="4">
        <f t="shared" si="35"/>
        <v>0</v>
      </c>
      <c r="H222" s="46">
        <v>0</v>
      </c>
      <c r="I222" s="42"/>
      <c r="J222" s="46"/>
      <c r="K222" s="37"/>
      <c r="L222" s="42"/>
    </row>
    <row r="223" spans="2:12" ht="12.75" hidden="1">
      <c r="B223" t="str">
        <f t="shared" si="28"/>
        <v>Turbo</v>
      </c>
      <c r="C223" s="42" t="s">
        <v>193</v>
      </c>
      <c r="D223" s="46">
        <v>0</v>
      </c>
      <c r="E223" s="4">
        <v>0</v>
      </c>
      <c r="F223" s="46">
        <v>0</v>
      </c>
      <c r="G223" s="4">
        <f t="shared" si="35"/>
        <v>0</v>
      </c>
      <c r="H223" s="46">
        <v>0</v>
      </c>
      <c r="I223" s="42"/>
      <c r="J223" s="46"/>
      <c r="K223" s="37"/>
      <c r="L223" s="42"/>
    </row>
    <row r="224" spans="2:12" ht="12.75">
      <c r="B224" t="str">
        <f t="shared" si="28"/>
        <v>Bomba Combustible</v>
      </c>
      <c r="C224" s="42" t="s">
        <v>194</v>
      </c>
      <c r="D224" s="46">
        <v>72000</v>
      </c>
      <c r="E224" s="4">
        <v>216.34615384615384</v>
      </c>
      <c r="F224" s="46">
        <v>138.46153846153845</v>
      </c>
      <c r="G224" s="4">
        <f t="shared" si="35"/>
        <v>1741.586538461538</v>
      </c>
      <c r="H224" s="46">
        <v>180000</v>
      </c>
      <c r="I224" s="42">
        <v>4</v>
      </c>
      <c r="J224" s="46">
        <f t="shared" si="36"/>
        <v>651.4824887999999</v>
      </c>
      <c r="K224" s="37">
        <f t="shared" si="37"/>
        <v>0.03323706982307691</v>
      </c>
      <c r="L224" s="42"/>
    </row>
    <row r="225" spans="2:12" ht="12.75">
      <c r="B225" t="str">
        <f t="shared" si="28"/>
        <v>Sistema de Aceite</v>
      </c>
      <c r="C225" s="42" t="s">
        <v>195</v>
      </c>
      <c r="D225" s="46">
        <v>10000</v>
      </c>
      <c r="E225" s="4">
        <v>40.86538461538461</v>
      </c>
      <c r="F225" s="46">
        <v>26.153846153846153</v>
      </c>
      <c r="G225" s="4">
        <f t="shared" si="35"/>
        <v>328.9663461538461</v>
      </c>
      <c r="H225" s="46">
        <v>34000</v>
      </c>
      <c r="I225" s="42">
        <v>3</v>
      </c>
      <c r="J225" s="46">
        <f t="shared" si="36"/>
        <v>488.6118666</v>
      </c>
      <c r="K225" s="37">
        <f t="shared" si="37"/>
        <v>0.08175782127538461</v>
      </c>
      <c r="L225" s="42"/>
    </row>
    <row r="226" spans="2:12" ht="12.75">
      <c r="B226" t="str">
        <f t="shared" si="28"/>
        <v>Enfriamiento</v>
      </c>
      <c r="C226" s="42" t="s">
        <v>196</v>
      </c>
      <c r="D226" s="46">
        <v>72000</v>
      </c>
      <c r="E226" s="4">
        <v>270.4326923076923</v>
      </c>
      <c r="F226" s="46">
        <v>173.07692307692307</v>
      </c>
      <c r="G226" s="4">
        <f t="shared" si="35"/>
        <v>2176.983173076923</v>
      </c>
      <c r="H226" s="46">
        <v>225000</v>
      </c>
      <c r="I226" s="42">
        <v>4</v>
      </c>
      <c r="J226" s="46">
        <f t="shared" si="36"/>
        <v>651.4824887999999</v>
      </c>
      <c r="K226" s="37">
        <f t="shared" si="37"/>
        <v>0.03928424530384615</v>
      </c>
      <c r="L226" s="42"/>
    </row>
    <row r="227" spans="2:12" ht="12.75">
      <c r="B227" t="str">
        <f t="shared" si="28"/>
        <v>Sistema de Escape</v>
      </c>
      <c r="C227" s="42" t="s">
        <v>197</v>
      </c>
      <c r="D227" s="46">
        <v>200000</v>
      </c>
      <c r="E227" s="4">
        <v>180.28846153846152</v>
      </c>
      <c r="F227" s="46">
        <v>115.38461538461539</v>
      </c>
      <c r="G227" s="4">
        <f t="shared" si="35"/>
        <v>1451.322115384615</v>
      </c>
      <c r="H227" s="46">
        <v>150000</v>
      </c>
      <c r="I227" s="42">
        <v>1</v>
      </c>
      <c r="J227" s="46">
        <f t="shared" si="36"/>
        <v>162.87062219999999</v>
      </c>
      <c r="K227" s="37">
        <f t="shared" si="37"/>
        <v>0.008070963687923075</v>
      </c>
      <c r="L227" s="42"/>
    </row>
    <row r="228" spans="2:12" ht="12.75">
      <c r="B228" t="str">
        <f t="shared" si="28"/>
        <v>Sistema Inyect/Cable/Bujia/Distribucion</v>
      </c>
      <c r="C228" s="42" t="s">
        <v>198</v>
      </c>
      <c r="D228" s="46">
        <v>72000</v>
      </c>
      <c r="E228" s="4">
        <v>637.0192307692308</v>
      </c>
      <c r="F228" s="46">
        <v>407.6923076923077</v>
      </c>
      <c r="G228" s="4">
        <f t="shared" si="35"/>
        <v>5128.004807692308</v>
      </c>
      <c r="H228" s="46">
        <v>530000</v>
      </c>
      <c r="I228" s="42">
        <v>3</v>
      </c>
      <c r="J228" s="46">
        <f t="shared" si="36"/>
        <v>488.6118666</v>
      </c>
      <c r="K228" s="37">
        <f t="shared" si="37"/>
        <v>0.0780085649207265</v>
      </c>
      <c r="L228" s="42"/>
    </row>
    <row r="229" spans="2:12" ht="12.75">
      <c r="B229" t="str">
        <f t="shared" si="28"/>
        <v>TOTAL MOTOR</v>
      </c>
      <c r="C229" s="210" t="s">
        <v>199</v>
      </c>
      <c r="D229" s="210"/>
      <c r="E229" s="210"/>
      <c r="F229" s="210"/>
      <c r="G229" s="210"/>
      <c r="H229" s="210"/>
      <c r="I229" s="210"/>
      <c r="J229" s="210"/>
      <c r="K229" s="210"/>
      <c r="L229" s="47">
        <f>SUM(K217:K228)</f>
        <v>0.392398103053094</v>
      </c>
    </row>
    <row r="230" spans="2:12" ht="12.75" hidden="1">
      <c r="B230" t="str">
        <f t="shared" si="28"/>
        <v>CAUCHOS Y ALINEAMIENTOS:</v>
      </c>
      <c r="C230" s="50" t="s">
        <v>200</v>
      </c>
      <c r="D230" s="42"/>
      <c r="E230" s="48">
        <v>1</v>
      </c>
      <c r="F230" s="48">
        <v>1</v>
      </c>
      <c r="G230" s="49">
        <v>1300</v>
      </c>
      <c r="H230" s="49"/>
      <c r="I230" s="48">
        <v>1</v>
      </c>
      <c r="J230" s="49">
        <v>28000</v>
      </c>
      <c r="K230" s="42"/>
      <c r="L230" s="42"/>
    </row>
    <row r="231" spans="2:12" ht="12.75">
      <c r="B231" t="str">
        <f t="shared" si="28"/>
        <v>Cauchos Delanteros (750-16 Tragalegua)</v>
      </c>
      <c r="C231" s="42" t="s">
        <v>228</v>
      </c>
      <c r="D231" s="46">
        <v>60000</v>
      </c>
      <c r="E231" s="4">
        <v>200</v>
      </c>
      <c r="F231" s="46">
        <v>200</v>
      </c>
      <c r="G231" s="4">
        <f aca="true" t="shared" si="38" ref="G231:G236">E231*$U$1</f>
        <v>1609.9999999999998</v>
      </c>
      <c r="H231" s="46">
        <v>275752</v>
      </c>
      <c r="I231" s="42">
        <v>1</v>
      </c>
      <c r="J231" s="46">
        <f aca="true" t="shared" si="39" ref="J231:J236">I231*$J$181</f>
        <v>162.87062219999999</v>
      </c>
      <c r="K231" s="37">
        <f aca="true" t="shared" si="40" ref="K231:K236">(((E231)*$U$1)+J231)/D231</f>
        <v>0.02954784370333333</v>
      </c>
      <c r="L231" s="42"/>
    </row>
    <row r="232" spans="2:12" ht="12.75">
      <c r="B232" t="str">
        <f t="shared" si="28"/>
        <v>Cauchos Traseros (750-16 Tragalegua)</v>
      </c>
      <c r="C232" s="42" t="s">
        <v>229</v>
      </c>
      <c r="D232" s="46">
        <v>60000</v>
      </c>
      <c r="E232" s="4">
        <v>400</v>
      </c>
      <c r="F232" s="46">
        <v>400</v>
      </c>
      <c r="G232" s="4">
        <f t="shared" si="38"/>
        <v>3219.9999999999995</v>
      </c>
      <c r="H232" s="46">
        <v>551504</v>
      </c>
      <c r="I232" s="42">
        <v>3</v>
      </c>
      <c r="J232" s="46">
        <f t="shared" si="39"/>
        <v>488.6118666</v>
      </c>
      <c r="K232" s="37">
        <f t="shared" si="40"/>
        <v>0.06181019777666665</v>
      </c>
      <c r="L232" s="42"/>
    </row>
    <row r="233" spans="2:12" ht="12.75">
      <c r="B233" t="str">
        <f t="shared" si="28"/>
        <v>Rines</v>
      </c>
      <c r="C233" s="42" t="s">
        <v>203</v>
      </c>
      <c r="D233" s="46">
        <v>160000</v>
      </c>
      <c r="E233" s="4">
        <v>156.25</v>
      </c>
      <c r="F233" s="46">
        <v>100</v>
      </c>
      <c r="G233" s="4">
        <f t="shared" si="38"/>
        <v>1257.8124999999998</v>
      </c>
      <c r="H233" s="46">
        <v>260000</v>
      </c>
      <c r="I233" s="42">
        <v>5</v>
      </c>
      <c r="J233" s="46">
        <f t="shared" si="39"/>
        <v>814.3531109999999</v>
      </c>
      <c r="K233" s="37">
        <f t="shared" si="40"/>
        <v>0.012951035068749997</v>
      </c>
      <c r="L233" s="42"/>
    </row>
    <row r="234" spans="2:12" ht="12.75">
      <c r="B234" t="str">
        <f t="shared" si="28"/>
        <v>Espiches y Daños</v>
      </c>
      <c r="C234" s="42" t="s">
        <v>204</v>
      </c>
      <c r="D234" s="46">
        <v>64000</v>
      </c>
      <c r="E234" s="4">
        <v>78.125</v>
      </c>
      <c r="F234" s="46">
        <v>50</v>
      </c>
      <c r="G234" s="4">
        <f t="shared" si="38"/>
        <v>628.9062499999999</v>
      </c>
      <c r="H234" s="46">
        <v>65000</v>
      </c>
      <c r="I234" s="42">
        <v>2</v>
      </c>
      <c r="J234" s="46">
        <f t="shared" si="39"/>
        <v>325.74124439999997</v>
      </c>
      <c r="K234" s="37">
        <f t="shared" si="40"/>
        <v>0.0149163671</v>
      </c>
      <c r="L234" s="42"/>
    </row>
    <row r="235" spans="2:12" ht="12.75">
      <c r="B235" t="str">
        <f t="shared" si="28"/>
        <v>Alineacion</v>
      </c>
      <c r="C235" s="42" t="s">
        <v>205</v>
      </c>
      <c r="D235" s="46">
        <v>60000</v>
      </c>
      <c r="E235" s="4">
        <v>14.423076923076922</v>
      </c>
      <c r="F235" s="46">
        <v>9.23076923076923</v>
      </c>
      <c r="G235" s="4">
        <f t="shared" si="38"/>
        <v>116.1057692307692</v>
      </c>
      <c r="H235" s="46">
        <v>12000</v>
      </c>
      <c r="I235" s="42">
        <v>2</v>
      </c>
      <c r="J235" s="46">
        <f t="shared" si="39"/>
        <v>325.74124439999997</v>
      </c>
      <c r="K235" s="37">
        <f t="shared" si="40"/>
        <v>0.007364116893846153</v>
      </c>
      <c r="L235" s="42"/>
    </row>
    <row r="236" spans="2:12" ht="12.75">
      <c r="B236" t="str">
        <f t="shared" si="28"/>
        <v>Balanceo</v>
      </c>
      <c r="C236" s="42" t="s">
        <v>206</v>
      </c>
      <c r="D236" s="46">
        <v>60000</v>
      </c>
      <c r="E236" s="4">
        <v>43.269230769230774</v>
      </c>
      <c r="F236" s="46">
        <v>27.692307692307693</v>
      </c>
      <c r="G236" s="4">
        <f t="shared" si="38"/>
        <v>348.3173076923077</v>
      </c>
      <c r="H236" s="46">
        <v>36000</v>
      </c>
      <c r="I236" s="42">
        <v>3</v>
      </c>
      <c r="J236" s="46">
        <f t="shared" si="39"/>
        <v>488.6118666</v>
      </c>
      <c r="K236" s="37">
        <f t="shared" si="40"/>
        <v>0.01394881957153846</v>
      </c>
      <c r="L236" s="42"/>
    </row>
    <row r="237" spans="2:12" ht="12.75">
      <c r="B237" t="str">
        <f t="shared" si="28"/>
        <v>TOTAL CAUCHOS Y ALINEACION</v>
      </c>
      <c r="C237" s="210" t="s">
        <v>207</v>
      </c>
      <c r="D237" s="210"/>
      <c r="E237" s="210"/>
      <c r="F237" s="210"/>
      <c r="G237" s="210"/>
      <c r="H237" s="210"/>
      <c r="I237" s="210"/>
      <c r="J237" s="210"/>
      <c r="K237" s="210"/>
      <c r="L237" s="47">
        <f>SUM(K231:K236)</f>
        <v>0.14053838011413458</v>
      </c>
    </row>
    <row r="238" spans="2:12" ht="12.75" hidden="1">
      <c r="B238" t="str">
        <f t="shared" si="28"/>
        <v>MANTENIMIENTO:</v>
      </c>
      <c r="C238" s="50" t="s">
        <v>208</v>
      </c>
      <c r="D238" s="42"/>
      <c r="E238" s="48">
        <v>1</v>
      </c>
      <c r="F238" s="48">
        <v>1</v>
      </c>
      <c r="G238" s="49">
        <v>1300</v>
      </c>
      <c r="H238" s="49"/>
      <c r="I238" s="48">
        <v>1</v>
      </c>
      <c r="J238" s="49">
        <v>28000</v>
      </c>
      <c r="K238" s="42"/>
      <c r="L238" s="42"/>
    </row>
    <row r="239" spans="2:12" ht="12.75">
      <c r="B239" t="str">
        <f t="shared" si="28"/>
        <v>Cambio de Aceite/Motor</v>
      </c>
      <c r="C239" s="42" t="s">
        <v>209</v>
      </c>
      <c r="D239" s="46">
        <v>10400</v>
      </c>
      <c r="E239" s="4">
        <f>F239</f>
        <v>26.153846153846153</v>
      </c>
      <c r="F239" s="46">
        <v>26.153846153846153</v>
      </c>
      <c r="G239" s="4">
        <f>E239*$U$1</f>
        <v>210.53846153846152</v>
      </c>
      <c r="H239" s="46">
        <v>34000</v>
      </c>
      <c r="I239" s="42">
        <v>2</v>
      </c>
      <c r="J239" s="46">
        <f>I239*$J$181</f>
        <v>325.74124439999997</v>
      </c>
      <c r="K239" s="37">
        <f>(((E239)*$U$1)+J239)/D239</f>
        <v>0.05156535634023668</v>
      </c>
      <c r="L239" s="42"/>
    </row>
    <row r="240" spans="2:12" ht="12.75">
      <c r="B240" t="str">
        <f t="shared" si="28"/>
        <v>Aceite Caja/Transmicion</v>
      </c>
      <c r="C240" s="42" t="s">
        <v>210</v>
      </c>
      <c r="D240" s="46">
        <v>120000</v>
      </c>
      <c r="E240" s="4">
        <f>F240</f>
        <v>19.23076923076923</v>
      </c>
      <c r="F240" s="46">
        <v>19.23076923076923</v>
      </c>
      <c r="G240" s="4">
        <f>E240*$U$1</f>
        <v>154.8076923076923</v>
      </c>
      <c r="H240" s="46">
        <v>25000</v>
      </c>
      <c r="I240" s="42">
        <v>0.5</v>
      </c>
      <c r="J240" s="46">
        <f>I240*$J$181</f>
        <v>81.43531109999999</v>
      </c>
      <c r="K240" s="37">
        <f>(((E240)*$U$1)+J240)/D240</f>
        <v>0.0019686916950641025</v>
      </c>
      <c r="L240" s="42"/>
    </row>
    <row r="241" spans="2:12" ht="12.75">
      <c r="B241" t="str">
        <f t="shared" si="28"/>
        <v>Filtros</v>
      </c>
      <c r="C241" s="42" t="s">
        <v>211</v>
      </c>
      <c r="D241" s="46">
        <v>10400</v>
      </c>
      <c r="E241" s="4">
        <v>5.408653846153847</v>
      </c>
      <c r="F241" s="46">
        <v>3.4615384615384617</v>
      </c>
      <c r="G241" s="4">
        <f>E241*$U$1</f>
        <v>43.53966346153846</v>
      </c>
      <c r="H241" s="46">
        <v>4500</v>
      </c>
      <c r="I241" s="42">
        <v>0.5</v>
      </c>
      <c r="J241" s="46">
        <f>I241*$J$181</f>
        <v>81.43531109999999</v>
      </c>
      <c r="K241" s="37">
        <f>(((E241)*$U$1)+J241)/D241</f>
        <v>0.012016824477071007</v>
      </c>
      <c r="L241" s="42"/>
    </row>
    <row r="242" spans="2:12" ht="12.75">
      <c r="B242" t="str">
        <f t="shared" si="28"/>
        <v>Lubricantes/Fluidos</v>
      </c>
      <c r="C242" s="42" t="s">
        <v>212</v>
      </c>
      <c r="D242" s="46">
        <v>100000</v>
      </c>
      <c r="E242" s="4">
        <v>3.6057692307692304</v>
      </c>
      <c r="F242" s="46">
        <v>2.3076923076923075</v>
      </c>
      <c r="G242" s="4">
        <f>E242*$U$1</f>
        <v>29.0264423076923</v>
      </c>
      <c r="H242" s="46">
        <v>3000</v>
      </c>
      <c r="I242" s="42">
        <v>0.5</v>
      </c>
      <c r="J242" s="46">
        <f>I242*$J$181</f>
        <v>81.43531109999999</v>
      </c>
      <c r="K242" s="37">
        <f>(((E242)*$U$1)+J242)/D242</f>
        <v>0.0011046175340769229</v>
      </c>
      <c r="L242" s="42"/>
    </row>
    <row r="243" spans="2:12" ht="12.75">
      <c r="B243" t="str">
        <f t="shared" si="28"/>
        <v>Limpieza</v>
      </c>
      <c r="C243" s="42" t="s">
        <v>213</v>
      </c>
      <c r="D243" s="46">
        <v>6400</v>
      </c>
      <c r="E243" s="4">
        <v>3.004807692307692</v>
      </c>
      <c r="F243" s="46">
        <v>1.9230769230769231</v>
      </c>
      <c r="G243" s="4">
        <f>E243*$U$1</f>
        <v>24.188701923076916</v>
      </c>
      <c r="H243" s="46">
        <v>2500</v>
      </c>
      <c r="I243" s="42">
        <v>0.5</v>
      </c>
      <c r="J243" s="46">
        <f>I243*$J$181</f>
        <v>81.43531109999999</v>
      </c>
      <c r="K243" s="37">
        <f>(((E243)*$U$1)+J243)/D243</f>
        <v>0.016503752034855768</v>
      </c>
      <c r="L243" s="42"/>
    </row>
    <row r="244" spans="2:12" ht="12.75">
      <c r="B244" t="str">
        <f t="shared" si="28"/>
        <v>TOTAL MANTENIMIENTO</v>
      </c>
      <c r="C244" s="210" t="s">
        <v>214</v>
      </c>
      <c r="D244" s="210"/>
      <c r="E244" s="210"/>
      <c r="F244" s="210"/>
      <c r="G244" s="210"/>
      <c r="H244" s="210"/>
      <c r="I244" s="210"/>
      <c r="J244" s="210"/>
      <c r="K244" s="210"/>
      <c r="L244" s="47">
        <f>SUM(K239:K243)</f>
        <v>0.08315924208130449</v>
      </c>
    </row>
    <row r="245" spans="2:12" ht="12.75" hidden="1">
      <c r="B245" t="str">
        <f t="shared" si="28"/>
        <v>AUXILIO VIAL:</v>
      </c>
      <c r="C245" s="50" t="s">
        <v>215</v>
      </c>
      <c r="D245" s="42"/>
      <c r="E245" s="48">
        <v>1</v>
      </c>
      <c r="F245" s="48">
        <v>1</v>
      </c>
      <c r="G245" s="49">
        <v>1300</v>
      </c>
      <c r="H245" s="49"/>
      <c r="I245" s="48">
        <v>1</v>
      </c>
      <c r="J245" s="49">
        <v>28000</v>
      </c>
      <c r="K245" s="42"/>
      <c r="L245" s="42"/>
    </row>
    <row r="246" spans="2:12" ht="12.75">
      <c r="B246" t="str">
        <f t="shared" si="28"/>
        <v>Servicio de Carretera</v>
      </c>
      <c r="C246" s="42" t="s">
        <v>216</v>
      </c>
      <c r="D246" s="46">
        <v>96000</v>
      </c>
      <c r="E246" s="4">
        <v>109.375</v>
      </c>
      <c r="F246" s="46">
        <v>70</v>
      </c>
      <c r="G246" s="4">
        <f>E246*$U$1</f>
        <v>880.4687499999999</v>
      </c>
      <c r="H246" s="46">
        <v>130000</v>
      </c>
      <c r="I246" s="42">
        <v>0</v>
      </c>
      <c r="J246" s="46">
        <f>I246*$J$181</f>
        <v>0</v>
      </c>
      <c r="K246" s="37">
        <f>(((E246)*$U$1)+J246)/D246</f>
        <v>0.009171549479166666</v>
      </c>
      <c r="L246" s="42"/>
    </row>
    <row r="247" spans="2:12" ht="12.75">
      <c r="B247" t="str">
        <f t="shared" si="28"/>
        <v>Reparaciones Menores</v>
      </c>
      <c r="C247" s="42" t="s">
        <v>217</v>
      </c>
      <c r="D247" s="46">
        <v>96000</v>
      </c>
      <c r="E247" s="4">
        <v>54.6875</v>
      </c>
      <c r="F247" s="46">
        <v>35</v>
      </c>
      <c r="G247" s="4">
        <f>E247*$U$1</f>
        <v>440.23437499999994</v>
      </c>
      <c r="H247" s="46">
        <v>65000</v>
      </c>
      <c r="I247" s="42">
        <v>0</v>
      </c>
      <c r="J247" s="46">
        <f>I247*$J$181</f>
        <v>0</v>
      </c>
      <c r="K247" s="37">
        <f>(((E247)*$U$1)+J247)/D247</f>
        <v>0.004585774739583333</v>
      </c>
      <c r="L247" s="42"/>
    </row>
    <row r="248" spans="2:12" ht="12.75">
      <c r="B248" t="str">
        <f t="shared" si="28"/>
        <v>Grua</v>
      </c>
      <c r="C248" s="42" t="s">
        <v>218</v>
      </c>
      <c r="D248" s="46">
        <v>128000</v>
      </c>
      <c r="E248" s="4">
        <v>93.75</v>
      </c>
      <c r="F248" s="46">
        <v>60</v>
      </c>
      <c r="G248" s="4">
        <f>E248*$U$1</f>
        <v>754.6874999999999</v>
      </c>
      <c r="H248" s="46">
        <v>130000</v>
      </c>
      <c r="I248" s="42">
        <v>0</v>
      </c>
      <c r="J248" s="46">
        <f>I248*$J$181</f>
        <v>0</v>
      </c>
      <c r="K248" s="37">
        <f>(((E248)*$U$1)+J248)/D248</f>
        <v>0.005895996093749999</v>
      </c>
      <c r="L248" s="42"/>
    </row>
    <row r="249" spans="2:12" ht="12.75">
      <c r="B249" t="str">
        <f aca="true" t="shared" si="41" ref="B249:B256">C249</f>
        <v>TOTAL AUXILIO VIAL</v>
      </c>
      <c r="C249" s="210" t="s">
        <v>219</v>
      </c>
      <c r="D249" s="210"/>
      <c r="E249" s="210"/>
      <c r="F249" s="210"/>
      <c r="G249" s="210"/>
      <c r="H249" s="210"/>
      <c r="I249" s="210"/>
      <c r="J249" s="210"/>
      <c r="K249" s="210"/>
      <c r="L249" s="47">
        <f>SUM(K246:K248)</f>
        <v>0.019653320312499997</v>
      </c>
    </row>
    <row r="250" spans="2:12" ht="12.75" hidden="1">
      <c r="B250" t="str">
        <f t="shared" si="41"/>
        <v>LATONERIA Y PINTURA:</v>
      </c>
      <c r="C250" s="50" t="s">
        <v>220</v>
      </c>
      <c r="D250" s="42"/>
      <c r="E250" s="48">
        <v>1</v>
      </c>
      <c r="F250" s="48">
        <v>1</v>
      </c>
      <c r="G250" s="49">
        <v>1300</v>
      </c>
      <c r="H250" s="49"/>
      <c r="I250" s="48">
        <v>1</v>
      </c>
      <c r="J250" s="49">
        <v>28000</v>
      </c>
      <c r="K250" s="42"/>
      <c r="L250" s="42"/>
    </row>
    <row r="251" spans="2:12" ht="12.75">
      <c r="B251" t="str">
        <f t="shared" si="41"/>
        <v>Camion</v>
      </c>
      <c r="C251" s="42" t="s">
        <v>221</v>
      </c>
      <c r="D251" s="46">
        <v>250000</v>
      </c>
      <c r="E251" s="4">
        <v>390.625</v>
      </c>
      <c r="F251" s="46">
        <v>250</v>
      </c>
      <c r="G251" s="4">
        <f>E251*$U$1</f>
        <v>3144.5312499999995</v>
      </c>
      <c r="H251" s="46">
        <v>570000</v>
      </c>
      <c r="I251" s="42">
        <v>0</v>
      </c>
      <c r="J251" s="46">
        <f>I251*$J$181</f>
        <v>0</v>
      </c>
      <c r="K251" s="37">
        <f>(((E251)*$U$1)+J251)/D251</f>
        <v>0.012578124999999999</v>
      </c>
      <c r="L251" s="47"/>
    </row>
    <row r="252" spans="2:12" ht="12.75">
      <c r="B252" t="str">
        <f t="shared" si="41"/>
        <v>TOTAL LATONERIA Y PINTURA</v>
      </c>
      <c r="C252" s="210" t="s">
        <v>222</v>
      </c>
      <c r="D252" s="210"/>
      <c r="E252" s="210"/>
      <c r="F252" s="210"/>
      <c r="G252" s="210"/>
      <c r="H252" s="210"/>
      <c r="I252" s="210"/>
      <c r="J252" s="210"/>
      <c r="K252" s="210"/>
      <c r="L252" s="47">
        <f>+K251</f>
        <v>0.012578124999999999</v>
      </c>
    </row>
    <row r="253" spans="2:12" ht="12.75" hidden="1">
      <c r="B253" t="str">
        <f t="shared" si="41"/>
        <v>OTROS:</v>
      </c>
      <c r="C253" s="50" t="s">
        <v>223</v>
      </c>
      <c r="D253" s="42"/>
      <c r="E253" s="48">
        <v>1</v>
      </c>
      <c r="F253" s="48">
        <v>1</v>
      </c>
      <c r="G253" s="49">
        <v>1300</v>
      </c>
      <c r="H253" s="49"/>
      <c r="I253" s="48">
        <v>1</v>
      </c>
      <c r="J253" s="49">
        <v>28000</v>
      </c>
      <c r="K253" s="42"/>
      <c r="L253" s="42"/>
    </row>
    <row r="254" spans="2:12" ht="12.75" hidden="1">
      <c r="B254" t="str">
        <f t="shared" si="41"/>
        <v>Gasolina/Gasoil</v>
      </c>
      <c r="C254" s="42" t="s">
        <v>224</v>
      </c>
      <c r="D254" s="46">
        <v>3</v>
      </c>
      <c r="E254" s="46">
        <v>0.07461538461538461</v>
      </c>
      <c r="F254" s="46">
        <v>0.07461538461538461</v>
      </c>
      <c r="G254" s="46">
        <v>97</v>
      </c>
      <c r="H254" s="46"/>
      <c r="I254" s="42">
        <v>0</v>
      </c>
      <c r="J254" s="46">
        <v>0</v>
      </c>
      <c r="K254" s="47">
        <v>32.333333333333336</v>
      </c>
      <c r="L254" s="47"/>
    </row>
    <row r="255" spans="2:12" ht="12.75" hidden="1">
      <c r="B255" t="str">
        <f t="shared" si="41"/>
        <v>TOTAL OTROS</v>
      </c>
      <c r="C255" s="210" t="s">
        <v>225</v>
      </c>
      <c r="D255" s="210"/>
      <c r="E255" s="210"/>
      <c r="F255" s="210"/>
      <c r="G255" s="210"/>
      <c r="H255" s="210"/>
      <c r="I255" s="210"/>
      <c r="J255" s="210"/>
      <c r="K255" s="210"/>
      <c r="L255" s="47">
        <v>0</v>
      </c>
    </row>
    <row r="256" spans="2:14" ht="12.75">
      <c r="B256" t="str">
        <f t="shared" si="41"/>
        <v>TOTAL GASTOS OPERATIVOS VARIABLES</v>
      </c>
      <c r="C256" s="211" t="s">
        <v>226</v>
      </c>
      <c r="D256" s="211"/>
      <c r="E256" s="211"/>
      <c r="F256" s="211"/>
      <c r="G256" s="211"/>
      <c r="H256" s="211"/>
      <c r="I256" s="211"/>
      <c r="J256" s="211"/>
      <c r="K256" s="211"/>
      <c r="L256" s="52">
        <f>SUM(L184:L252)</f>
        <v>1.1863336543951357</v>
      </c>
      <c r="M256" s="58">
        <f>M177</f>
        <v>0.1662217410552083</v>
      </c>
      <c r="N256" s="78">
        <f>L256+M256</f>
        <v>1.352555395450344</v>
      </c>
    </row>
  </sheetData>
  <sheetProtection/>
  <mergeCells count="28">
    <mergeCell ref="C256:K256"/>
    <mergeCell ref="C180:L180"/>
    <mergeCell ref="C182:C183"/>
    <mergeCell ref="E182:G182"/>
    <mergeCell ref="I182:J182"/>
    <mergeCell ref="C193:K193"/>
    <mergeCell ref="C200:K200"/>
    <mergeCell ref="C204:K204"/>
    <mergeCell ref="C249:K249"/>
    <mergeCell ref="C215:K215"/>
    <mergeCell ref="C255:K255"/>
    <mergeCell ref="C173:K173"/>
    <mergeCell ref="C176:K176"/>
    <mergeCell ref="C177:K177"/>
    <mergeCell ref="C165:K165"/>
    <mergeCell ref="C170:K170"/>
    <mergeCell ref="C229:K229"/>
    <mergeCell ref="C237:K237"/>
    <mergeCell ref="C244:K244"/>
    <mergeCell ref="C103:L103"/>
    <mergeCell ref="C105:C106"/>
    <mergeCell ref="E105:G105"/>
    <mergeCell ref="I105:J105"/>
    <mergeCell ref="C142:K142"/>
    <mergeCell ref="C252:K252"/>
    <mergeCell ref="C149:K149"/>
    <mergeCell ref="C153:K153"/>
    <mergeCell ref="C164:K164"/>
  </mergeCells>
  <printOptions/>
  <pageMargins left="0.25" right="0.58" top="0.17" bottom="0.28" header="0" footer="0"/>
  <pageSetup fitToHeight="2" fitToWidth="1" horizontalDpi="300" verticalDpi="300" orientation="portrait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X72"/>
  <sheetViews>
    <sheetView zoomScale="85" zoomScaleNormal="85" zoomScalePageLayoutView="0" workbookViewId="0" topLeftCell="D1">
      <selection activeCell="AD42" sqref="AD42"/>
    </sheetView>
  </sheetViews>
  <sheetFormatPr defaultColWidth="11.421875" defaultRowHeight="12.75"/>
  <cols>
    <col min="1" max="1" width="11.421875" style="0" customWidth="1"/>
    <col min="2" max="2" width="23.421875" style="0" customWidth="1"/>
    <col min="3" max="3" width="0" style="0" hidden="1" customWidth="1"/>
    <col min="4" max="4" width="14.140625" style="0" customWidth="1"/>
    <col min="5" max="5" width="0" style="0" hidden="1" customWidth="1"/>
    <col min="6" max="6" width="11.421875" style="0" hidden="1" customWidth="1"/>
    <col min="7" max="7" width="13.140625" style="0" customWidth="1"/>
    <col min="8" max="8" width="13.140625" style="0" hidden="1" customWidth="1"/>
    <col min="9" max="9" width="11.421875" style="0" customWidth="1"/>
    <col min="10" max="10" width="13.8515625" style="0" customWidth="1"/>
    <col min="11" max="11" width="11.421875" style="0" customWidth="1"/>
    <col min="12" max="15" width="11.421875" style="4" customWidth="1"/>
    <col min="16" max="16" width="12.28125" style="4" bestFit="1" customWidth="1"/>
    <col min="17" max="17" width="12.7109375" style="4" bestFit="1" customWidth="1"/>
    <col min="18" max="55" width="11.421875" style="4" customWidth="1"/>
  </cols>
  <sheetData>
    <row r="1" spans="2:21" s="4" customFormat="1" ht="12.75">
      <c r="B1" s="35" t="s">
        <v>50</v>
      </c>
      <c r="D1" s="35" t="s">
        <v>232</v>
      </c>
      <c r="J1" s="4">
        <f>'Estructura de Costos Usados'!K9</f>
        <v>162.87062219999999</v>
      </c>
      <c r="U1" s="4">
        <f>'Estructura de Costos Usados'!K12</f>
        <v>4.3</v>
      </c>
    </row>
    <row r="2" s="4" customFormat="1" ht="12.75">
      <c r="L2" s="4" t="s">
        <v>247</v>
      </c>
    </row>
    <row r="3" spans="2:66" s="4" customFormat="1" ht="12.75">
      <c r="B3" s="24" t="s">
        <v>51</v>
      </c>
      <c r="C3" s="24" t="s">
        <v>52</v>
      </c>
      <c r="D3" s="24" t="s">
        <v>53</v>
      </c>
      <c r="E3" s="24" t="s">
        <v>54</v>
      </c>
      <c r="F3" s="24" t="s">
        <v>54</v>
      </c>
      <c r="G3" s="24" t="s">
        <v>55</v>
      </c>
      <c r="H3" s="24" t="s">
        <v>230</v>
      </c>
      <c r="I3" s="24" t="s">
        <v>56</v>
      </c>
      <c r="J3" s="24" t="s">
        <v>55</v>
      </c>
      <c r="K3" s="24" t="s">
        <v>57</v>
      </c>
      <c r="L3" s="24">
        <v>120000</v>
      </c>
      <c r="M3" s="24">
        <v>120000</v>
      </c>
      <c r="N3" s="24">
        <v>240000</v>
      </c>
      <c r="O3" s="24">
        <f>+N3</f>
        <v>240000</v>
      </c>
      <c r="P3" s="24">
        <v>360000</v>
      </c>
      <c r="Q3" s="24">
        <f>+P3</f>
        <v>360000</v>
      </c>
      <c r="R3" s="24">
        <v>480000</v>
      </c>
      <c r="S3" s="24">
        <f>+R3</f>
        <v>480000</v>
      </c>
      <c r="T3" s="24">
        <v>600000</v>
      </c>
      <c r="U3" s="24">
        <f>+T3</f>
        <v>600000</v>
      </c>
      <c r="V3" s="24">
        <v>720000</v>
      </c>
      <c r="W3" s="24">
        <f>+V3</f>
        <v>720000</v>
      </c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K3" s="38"/>
      <c r="BL3" s="38"/>
      <c r="BM3" s="38"/>
      <c r="BN3" s="38"/>
    </row>
    <row r="4" spans="2:16" s="4" customFormat="1" ht="12.75">
      <c r="B4" s="24"/>
      <c r="C4" s="24"/>
      <c r="D4" s="24" t="s">
        <v>59</v>
      </c>
      <c r="E4" s="24" t="s">
        <v>60</v>
      </c>
      <c r="F4" s="24" t="s">
        <v>244</v>
      </c>
      <c r="G4" s="24" t="s">
        <v>60</v>
      </c>
      <c r="H4" s="24" t="s">
        <v>231</v>
      </c>
      <c r="I4" s="24" t="s">
        <v>61</v>
      </c>
      <c r="J4" s="24" t="s">
        <v>61</v>
      </c>
      <c r="K4" s="24" t="s">
        <v>62</v>
      </c>
      <c r="P4" s="75">
        <f>123200/6400</f>
        <v>19.25</v>
      </c>
    </row>
    <row r="5" s="4" customFormat="1" ht="12.75" hidden="1"/>
    <row r="6" spans="2:23" s="4" customFormat="1" ht="12.75">
      <c r="B6" s="24" t="s">
        <v>63</v>
      </c>
      <c r="L6" s="4" t="s">
        <v>278</v>
      </c>
      <c r="M6" s="4" t="s">
        <v>58</v>
      </c>
      <c r="N6" s="4" t="s">
        <v>278</v>
      </c>
      <c r="O6" s="4" t="s">
        <v>58</v>
      </c>
      <c r="P6" s="4" t="s">
        <v>278</v>
      </c>
      <c r="Q6" s="4" t="s">
        <v>58</v>
      </c>
      <c r="R6" s="4" t="s">
        <v>278</v>
      </c>
      <c r="S6" s="4" t="s">
        <v>58</v>
      </c>
      <c r="T6" s="4" t="s">
        <v>278</v>
      </c>
      <c r="U6" s="4" t="s">
        <v>58</v>
      </c>
      <c r="V6" s="4" t="s">
        <v>278</v>
      </c>
      <c r="W6" s="4" t="s">
        <v>58</v>
      </c>
    </row>
    <row r="7" spans="1:76" s="4" customFormat="1" ht="12.75">
      <c r="A7" s="4" t="s">
        <v>114</v>
      </c>
      <c r="B7" s="4" t="s">
        <v>119</v>
      </c>
      <c r="C7" s="4">
        <v>4000</v>
      </c>
      <c r="D7" s="4">
        <f>C7*1.6</f>
        <v>6400</v>
      </c>
      <c r="I7" s="37">
        <v>0.5</v>
      </c>
      <c r="J7" s="4">
        <f aca="true" t="shared" si="0" ref="J7:J38">I7*$J$1</f>
        <v>81.43531109999999</v>
      </c>
      <c r="K7" s="37">
        <f aca="true" t="shared" si="1" ref="K7:K44">(((E7)*$U$1)+J7)/D7</f>
        <v>0.012724267359375</v>
      </c>
      <c r="L7" s="4">
        <f>INT(+$L$3/D7)*D7</f>
        <v>115200</v>
      </c>
      <c r="M7" s="4">
        <f>INT(+$L$3/D7)*D7*K7</f>
        <v>1465.8355998</v>
      </c>
      <c r="N7" s="4">
        <f>INT(($N$3-$M$3+$L$3-L7)/D7)*D7+L7</f>
        <v>236800</v>
      </c>
      <c r="O7" s="4">
        <f>INT(($N$3-$M$3+$L$3-L7)/D7)*D7*K7</f>
        <v>1547.2709109</v>
      </c>
      <c r="P7" s="4">
        <f>INT((+$P$3-N7)/D7)*D7+N7</f>
        <v>358400</v>
      </c>
      <c r="Q7" s="4">
        <f>INT((+$P$3-N7)/D7)*D7*K7</f>
        <v>1547.2709109</v>
      </c>
      <c r="R7" s="4">
        <f>INT((+$R$3-P7)/D7)*D7+P7</f>
        <v>480000</v>
      </c>
      <c r="S7" s="4">
        <f>INT((+$R$3-P7)/D7)*K7*D7</f>
        <v>1547.2709109</v>
      </c>
      <c r="T7" s="4">
        <f>INT((+$T$3-R7)/D7)*D7+R7</f>
        <v>595200</v>
      </c>
      <c r="U7" s="4">
        <f>INT((+$T$3-R7)/D7)*K7*D7</f>
        <v>1465.8355998</v>
      </c>
      <c r="V7" s="4">
        <f>INT((+$V$3-T7)/D7)*D7+T7</f>
        <v>716800</v>
      </c>
      <c r="W7" s="4">
        <f>INT((+$V$3-T7)/D7)*K7*D7</f>
        <v>1547.2709109</v>
      </c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</row>
    <row r="8" spans="1:76" s="4" customFormat="1" ht="12.75">
      <c r="A8" s="4" t="s">
        <v>114</v>
      </c>
      <c r="B8" s="4" t="s">
        <v>115</v>
      </c>
      <c r="C8" s="4">
        <v>6500</v>
      </c>
      <c r="D8" s="4">
        <f>C8*1.6</f>
        <v>10400</v>
      </c>
      <c r="E8" s="4">
        <v>234.375</v>
      </c>
      <c r="F8" s="4">
        <v>150</v>
      </c>
      <c r="G8" s="4">
        <f aca="true" t="shared" si="2" ref="G8:G39">E8*$U$1</f>
        <v>1007.8125</v>
      </c>
      <c r="I8" s="37">
        <v>2</v>
      </c>
      <c r="J8" s="4">
        <f t="shared" si="0"/>
        <v>325.74124439999997</v>
      </c>
      <c r="K8" s="37">
        <f t="shared" si="1"/>
        <v>0.12822632157692307</v>
      </c>
      <c r="L8" s="4">
        <f aca="true" t="shared" si="3" ref="L8:L27">INT(+$L$3/D8)*D8</f>
        <v>114400</v>
      </c>
      <c r="M8" s="4">
        <f aca="true" t="shared" si="4" ref="M8:M27">INT(+$L$3/D8)*D8*K8</f>
        <v>14669.0911884</v>
      </c>
      <c r="N8" s="4">
        <f aca="true" t="shared" si="5" ref="N8:N27">INT(($N$3-$M$3+$L$3-L8)/D8)*D8+L8</f>
        <v>239200</v>
      </c>
      <c r="O8" s="4">
        <f aca="true" t="shared" si="6" ref="O8:O27">INT(($N$3-$M$3+$L$3-L8)/D8)*D8*K8</f>
        <v>16002.6449328</v>
      </c>
      <c r="P8" s="4">
        <f aca="true" t="shared" si="7" ref="P8:P27">INT((+$P$3-N8)/D8)*D8+N8</f>
        <v>353600</v>
      </c>
      <c r="Q8" s="4">
        <f aca="true" t="shared" si="8" ref="Q8:Q27">INT((+$P$3-N8)/D8)*D8*K8</f>
        <v>14669.0911884</v>
      </c>
      <c r="R8" s="4">
        <f aca="true" t="shared" si="9" ref="R8:R27">INT((+$R$3-P8)/D8)*D8+P8</f>
        <v>478400</v>
      </c>
      <c r="S8" s="4">
        <f aca="true" t="shared" si="10" ref="S8:S27">INT((+$R$3-P8)/D8)*K8*D8</f>
        <v>16002.6449328</v>
      </c>
      <c r="T8" s="4">
        <f aca="true" t="shared" si="11" ref="T8:T27">INT((+$T$3-R8)/D8)*D8+R8</f>
        <v>592800</v>
      </c>
      <c r="U8" s="4">
        <f aca="true" t="shared" si="12" ref="U8:U27">INT((+$T$3-R8)/D8)*K8*D8</f>
        <v>14669.091188399998</v>
      </c>
      <c r="V8" s="4">
        <f aca="true" t="shared" si="13" ref="V8:V27">INT((+$V$3-T8)/D8)*D8+T8</f>
        <v>717600</v>
      </c>
      <c r="W8" s="4">
        <f aca="true" t="shared" si="14" ref="W8:W27">INT((+$V$3-T8)/D8)*K8*D8</f>
        <v>16002.6449328</v>
      </c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</row>
    <row r="9" spans="1:76" s="4" customFormat="1" ht="12.75">
      <c r="A9" s="4" t="s">
        <v>114</v>
      </c>
      <c r="B9" s="4" t="s">
        <v>117</v>
      </c>
      <c r="C9" s="4">
        <v>6500</v>
      </c>
      <c r="D9" s="4">
        <f>C9*1.6</f>
        <v>10400</v>
      </c>
      <c r="E9" s="4">
        <v>78.125</v>
      </c>
      <c r="F9" s="4">
        <v>50</v>
      </c>
      <c r="G9" s="4">
        <f t="shared" si="2"/>
        <v>335.9375</v>
      </c>
      <c r="I9" s="37">
        <v>0.5</v>
      </c>
      <c r="J9" s="4">
        <f t="shared" si="0"/>
        <v>81.43531109999999</v>
      </c>
      <c r="K9" s="37">
        <f t="shared" si="1"/>
        <v>0.04013200106730769</v>
      </c>
      <c r="L9" s="4">
        <f t="shared" si="3"/>
        <v>114400</v>
      </c>
      <c r="M9" s="4">
        <f t="shared" si="4"/>
        <v>4591.1009220999995</v>
      </c>
      <c r="N9" s="4">
        <f t="shared" si="5"/>
        <v>239200</v>
      </c>
      <c r="O9" s="4">
        <f t="shared" si="6"/>
        <v>5008.4737331999995</v>
      </c>
      <c r="P9" s="4">
        <f t="shared" si="7"/>
        <v>353600</v>
      </c>
      <c r="Q9" s="4">
        <f t="shared" si="8"/>
        <v>4591.1009220999995</v>
      </c>
      <c r="R9" s="4">
        <f t="shared" si="9"/>
        <v>478400</v>
      </c>
      <c r="S9" s="4">
        <f t="shared" si="10"/>
        <v>5008.4737331999995</v>
      </c>
      <c r="T9" s="4">
        <f t="shared" si="11"/>
        <v>592800</v>
      </c>
      <c r="U9" s="4">
        <f t="shared" si="12"/>
        <v>4591.1009220999995</v>
      </c>
      <c r="V9" s="4">
        <f t="shared" si="13"/>
        <v>717600</v>
      </c>
      <c r="W9" s="4">
        <f t="shared" si="14"/>
        <v>5008.4737331999995</v>
      </c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</row>
    <row r="10" spans="1:76" s="4" customFormat="1" ht="12.75">
      <c r="A10" s="4" t="s">
        <v>114</v>
      </c>
      <c r="B10" s="4" t="s">
        <v>116</v>
      </c>
      <c r="C10" s="4">
        <v>10000</v>
      </c>
      <c r="D10" s="4">
        <v>30000</v>
      </c>
      <c r="E10" s="4">
        <v>62.5</v>
      </c>
      <c r="F10" s="4">
        <v>40</v>
      </c>
      <c r="G10" s="4">
        <f t="shared" si="2"/>
        <v>268.75</v>
      </c>
      <c r="I10" s="37">
        <v>0.5</v>
      </c>
      <c r="J10" s="4">
        <f t="shared" si="0"/>
        <v>81.43531109999999</v>
      </c>
      <c r="K10" s="37">
        <f t="shared" si="1"/>
        <v>0.011672843703333333</v>
      </c>
      <c r="L10" s="4">
        <f t="shared" si="3"/>
        <v>120000</v>
      </c>
      <c r="M10" s="4">
        <f t="shared" si="4"/>
        <v>1400.7412444</v>
      </c>
      <c r="N10" s="4">
        <f t="shared" si="5"/>
        <v>240000</v>
      </c>
      <c r="O10" s="4">
        <f t="shared" si="6"/>
        <v>1400.7412444</v>
      </c>
      <c r="P10" s="4">
        <f t="shared" si="7"/>
        <v>360000</v>
      </c>
      <c r="Q10" s="4">
        <f t="shared" si="8"/>
        <v>1400.7412444</v>
      </c>
      <c r="R10" s="4">
        <f t="shared" si="9"/>
        <v>480000</v>
      </c>
      <c r="S10" s="4">
        <f t="shared" si="10"/>
        <v>1400.7412444</v>
      </c>
      <c r="T10" s="4">
        <f t="shared" si="11"/>
        <v>600000</v>
      </c>
      <c r="U10" s="4">
        <f t="shared" si="12"/>
        <v>1400.7412444</v>
      </c>
      <c r="V10" s="4">
        <f t="shared" si="13"/>
        <v>720000</v>
      </c>
      <c r="W10" s="4">
        <f t="shared" si="14"/>
        <v>1400.7412444</v>
      </c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</row>
    <row r="11" spans="1:76" s="4" customFormat="1" ht="12.75">
      <c r="A11" s="4" t="s">
        <v>73</v>
      </c>
      <c r="B11" s="4" t="s">
        <v>76</v>
      </c>
      <c r="C11" s="4">
        <v>20000</v>
      </c>
      <c r="D11" s="4">
        <f>C11*1.6</f>
        <v>32000</v>
      </c>
      <c r="E11" s="4">
        <v>0</v>
      </c>
      <c r="F11" s="4">
        <v>0</v>
      </c>
      <c r="G11" s="4">
        <f t="shared" si="2"/>
        <v>0</v>
      </c>
      <c r="I11" s="37">
        <v>1</v>
      </c>
      <c r="J11" s="4">
        <f t="shared" si="0"/>
        <v>162.87062219999999</v>
      </c>
      <c r="K11" s="37">
        <f t="shared" si="1"/>
        <v>0.005089706943749999</v>
      </c>
      <c r="L11" s="4">
        <f t="shared" si="3"/>
        <v>96000</v>
      </c>
      <c r="M11" s="4">
        <f t="shared" si="4"/>
        <v>488.6118665999999</v>
      </c>
      <c r="N11" s="4">
        <f t="shared" si="5"/>
        <v>224000</v>
      </c>
      <c r="O11" s="4">
        <f t="shared" si="6"/>
        <v>651.4824887999999</v>
      </c>
      <c r="P11" s="4">
        <f t="shared" si="7"/>
        <v>352000</v>
      </c>
      <c r="Q11" s="4">
        <f t="shared" si="8"/>
        <v>651.4824887999999</v>
      </c>
      <c r="R11" s="4">
        <f t="shared" si="9"/>
        <v>480000</v>
      </c>
      <c r="S11" s="4">
        <f t="shared" si="10"/>
        <v>651.4824887999999</v>
      </c>
      <c r="T11" s="4">
        <f t="shared" si="11"/>
        <v>576000</v>
      </c>
      <c r="U11" s="4">
        <f t="shared" si="12"/>
        <v>488.6118665999999</v>
      </c>
      <c r="V11" s="4">
        <f t="shared" si="13"/>
        <v>704000</v>
      </c>
      <c r="W11" s="4">
        <f t="shared" si="14"/>
        <v>651.4824887999999</v>
      </c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</row>
    <row r="12" spans="1:76" s="4" customFormat="1" ht="12.75">
      <c r="A12" s="4" t="s">
        <v>134</v>
      </c>
      <c r="B12" s="4" t="s">
        <v>135</v>
      </c>
      <c r="C12" s="4">
        <v>20000</v>
      </c>
      <c r="D12" s="4">
        <f>C12*1.6</f>
        <v>32000</v>
      </c>
      <c r="E12" s="4">
        <v>156.25</v>
      </c>
      <c r="F12" s="4">
        <v>100</v>
      </c>
      <c r="G12" s="4">
        <f t="shared" si="2"/>
        <v>671.875</v>
      </c>
      <c r="I12" s="37">
        <v>2</v>
      </c>
      <c r="J12" s="4">
        <f t="shared" si="0"/>
        <v>325.74124439999997</v>
      </c>
      <c r="K12" s="37">
        <f t="shared" si="1"/>
        <v>0.0311755076375</v>
      </c>
      <c r="L12" s="4">
        <f t="shared" si="3"/>
        <v>96000</v>
      </c>
      <c r="M12" s="4">
        <f t="shared" si="4"/>
        <v>2992.8487332</v>
      </c>
      <c r="N12" s="4">
        <f t="shared" si="5"/>
        <v>224000</v>
      </c>
      <c r="O12" s="4">
        <f t="shared" si="6"/>
        <v>3990.4649775999997</v>
      </c>
      <c r="P12" s="4">
        <f t="shared" si="7"/>
        <v>352000</v>
      </c>
      <c r="Q12" s="4">
        <f t="shared" si="8"/>
        <v>3990.4649775999997</v>
      </c>
      <c r="R12" s="4">
        <f t="shared" si="9"/>
        <v>480000</v>
      </c>
      <c r="S12" s="4">
        <f t="shared" si="10"/>
        <v>3990.4649775999997</v>
      </c>
      <c r="T12" s="4">
        <f t="shared" si="11"/>
        <v>576000</v>
      </c>
      <c r="U12" s="4">
        <f t="shared" si="12"/>
        <v>2992.8487332</v>
      </c>
      <c r="V12" s="4">
        <f t="shared" si="13"/>
        <v>704000</v>
      </c>
      <c r="W12" s="4">
        <f t="shared" si="14"/>
        <v>3990.4649775999997</v>
      </c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</row>
    <row r="13" spans="1:76" s="4" customFormat="1" ht="12.75">
      <c r="A13" s="4" t="s">
        <v>73</v>
      </c>
      <c r="B13" s="4" t="s">
        <v>74</v>
      </c>
      <c r="C13" s="4">
        <v>30000</v>
      </c>
      <c r="D13" s="4">
        <v>50000</v>
      </c>
      <c r="E13" s="4">
        <v>117.1875</v>
      </c>
      <c r="F13" s="4">
        <v>75</v>
      </c>
      <c r="G13" s="4">
        <f t="shared" si="2"/>
        <v>503.90625</v>
      </c>
      <c r="I13" s="37">
        <v>5</v>
      </c>
      <c r="J13" s="4">
        <f t="shared" si="0"/>
        <v>814.3531109999999</v>
      </c>
      <c r="K13" s="37">
        <f t="shared" si="1"/>
        <v>0.02636518722</v>
      </c>
      <c r="L13" s="4">
        <f t="shared" si="3"/>
        <v>100000</v>
      </c>
      <c r="M13" s="4">
        <f t="shared" si="4"/>
        <v>2636.518722</v>
      </c>
      <c r="N13" s="4">
        <f t="shared" si="5"/>
        <v>200000</v>
      </c>
      <c r="O13" s="4">
        <f t="shared" si="6"/>
        <v>2636.518722</v>
      </c>
      <c r="P13" s="4">
        <f t="shared" si="7"/>
        <v>350000</v>
      </c>
      <c r="Q13" s="4">
        <f t="shared" si="8"/>
        <v>3954.7780829999997</v>
      </c>
      <c r="R13" s="4">
        <f t="shared" si="9"/>
        <v>450000</v>
      </c>
      <c r="S13" s="4">
        <f t="shared" si="10"/>
        <v>2636.518722</v>
      </c>
      <c r="T13" s="4">
        <f t="shared" si="11"/>
        <v>600000</v>
      </c>
      <c r="U13" s="4">
        <f t="shared" si="12"/>
        <v>3954.7780829999997</v>
      </c>
      <c r="V13" s="4">
        <f t="shared" si="13"/>
        <v>700000</v>
      </c>
      <c r="W13" s="4">
        <f t="shared" si="14"/>
        <v>2636.518722</v>
      </c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</row>
    <row r="14" spans="1:76" s="4" customFormat="1" ht="12.75">
      <c r="A14" s="4" t="s">
        <v>106</v>
      </c>
      <c r="B14" s="4" t="s">
        <v>107</v>
      </c>
      <c r="C14" s="4">
        <v>35000</v>
      </c>
      <c r="D14" s="4">
        <f aca="true" t="shared" si="15" ref="D14:D23">C14*1.6</f>
        <v>56000</v>
      </c>
      <c r="E14" s="4">
        <v>781.25</v>
      </c>
      <c r="F14" s="4">
        <f>2*250</f>
        <v>500</v>
      </c>
      <c r="G14" s="4">
        <f t="shared" si="2"/>
        <v>3359.375</v>
      </c>
      <c r="H14" s="4">
        <v>1000000</v>
      </c>
      <c r="I14" s="37">
        <v>1</v>
      </c>
      <c r="J14" s="4">
        <f t="shared" si="0"/>
        <v>162.87062219999999</v>
      </c>
      <c r="K14" s="37">
        <f t="shared" si="1"/>
        <v>0.06289724325357143</v>
      </c>
      <c r="L14" s="4">
        <f t="shared" si="3"/>
        <v>112000</v>
      </c>
      <c r="M14" s="4">
        <f t="shared" si="4"/>
        <v>7044.4912444</v>
      </c>
      <c r="N14" s="4">
        <f t="shared" si="5"/>
        <v>224000</v>
      </c>
      <c r="O14" s="4">
        <f t="shared" si="6"/>
        <v>7044.4912444</v>
      </c>
      <c r="P14" s="4">
        <f t="shared" si="7"/>
        <v>336000</v>
      </c>
      <c r="Q14" s="4">
        <f t="shared" si="8"/>
        <v>7044.4912444</v>
      </c>
      <c r="R14" s="4">
        <f t="shared" si="9"/>
        <v>448000</v>
      </c>
      <c r="S14" s="4">
        <f t="shared" si="10"/>
        <v>7044.4912444</v>
      </c>
      <c r="T14" s="4">
        <f t="shared" si="11"/>
        <v>560000</v>
      </c>
      <c r="U14" s="4">
        <f t="shared" si="12"/>
        <v>7044.4912444</v>
      </c>
      <c r="V14" s="4">
        <f t="shared" si="13"/>
        <v>672000</v>
      </c>
      <c r="W14" s="4">
        <f t="shared" si="14"/>
        <v>7044.4912444</v>
      </c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</row>
    <row r="15" spans="1:76" s="4" customFormat="1" ht="12.75">
      <c r="A15" s="4" t="s">
        <v>106</v>
      </c>
      <c r="B15" s="4" t="s">
        <v>108</v>
      </c>
      <c r="C15" s="4">
        <v>40000</v>
      </c>
      <c r="D15" s="4">
        <f t="shared" si="15"/>
        <v>64000</v>
      </c>
      <c r="E15" s="4">
        <v>3125</v>
      </c>
      <c r="F15" s="4">
        <f>10*200</f>
        <v>2000</v>
      </c>
      <c r="G15" s="4">
        <f t="shared" si="2"/>
        <v>13437.5</v>
      </c>
      <c r="H15" s="4">
        <f>10*545000</f>
        <v>5450000</v>
      </c>
      <c r="I15" s="37">
        <v>3</v>
      </c>
      <c r="J15" s="4">
        <f t="shared" si="0"/>
        <v>488.6118666</v>
      </c>
      <c r="K15" s="37">
        <f t="shared" si="1"/>
        <v>0.217595497915625</v>
      </c>
      <c r="L15" s="4">
        <f t="shared" si="3"/>
        <v>64000</v>
      </c>
      <c r="M15" s="4">
        <f t="shared" si="4"/>
        <v>13926.1118666</v>
      </c>
      <c r="N15" s="4">
        <f t="shared" si="5"/>
        <v>192000</v>
      </c>
      <c r="O15" s="4">
        <f t="shared" si="6"/>
        <v>27852.2237332</v>
      </c>
      <c r="P15" s="4">
        <f t="shared" si="7"/>
        <v>320000</v>
      </c>
      <c r="Q15" s="4">
        <f t="shared" si="8"/>
        <v>27852.2237332</v>
      </c>
      <c r="R15" s="4">
        <f t="shared" si="9"/>
        <v>448000</v>
      </c>
      <c r="S15" s="4">
        <f t="shared" si="10"/>
        <v>27852.2237332</v>
      </c>
      <c r="T15" s="4">
        <f t="shared" si="11"/>
        <v>576000</v>
      </c>
      <c r="U15" s="4">
        <f t="shared" si="12"/>
        <v>27852.2237332</v>
      </c>
      <c r="V15" s="4">
        <f t="shared" si="13"/>
        <v>704000</v>
      </c>
      <c r="W15" s="4">
        <f t="shared" si="14"/>
        <v>27852.2237332</v>
      </c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</row>
    <row r="16" spans="1:76" s="4" customFormat="1" ht="12.75">
      <c r="A16" s="4" t="s">
        <v>106</v>
      </c>
      <c r="B16" s="4" t="s">
        <v>110</v>
      </c>
      <c r="C16" s="4">
        <v>40000</v>
      </c>
      <c r="D16" s="4">
        <f t="shared" si="15"/>
        <v>64000</v>
      </c>
      <c r="E16" s="4">
        <v>78.125</v>
      </c>
      <c r="F16" s="4">
        <v>50</v>
      </c>
      <c r="G16" s="4">
        <f t="shared" si="2"/>
        <v>335.9375</v>
      </c>
      <c r="I16" s="37">
        <v>2</v>
      </c>
      <c r="J16" s="4">
        <f t="shared" si="0"/>
        <v>325.74124439999997</v>
      </c>
      <c r="K16" s="37">
        <f t="shared" si="1"/>
        <v>0.01033873038125</v>
      </c>
      <c r="L16" s="4">
        <f t="shared" si="3"/>
        <v>64000</v>
      </c>
      <c r="M16" s="4">
        <f t="shared" si="4"/>
        <v>661.6787443999999</v>
      </c>
      <c r="N16" s="4">
        <f t="shared" si="5"/>
        <v>192000</v>
      </c>
      <c r="O16" s="4">
        <f t="shared" si="6"/>
        <v>1323.3574887999998</v>
      </c>
      <c r="P16" s="4">
        <f t="shared" si="7"/>
        <v>320000</v>
      </c>
      <c r="Q16" s="4">
        <f t="shared" si="8"/>
        <v>1323.3574887999998</v>
      </c>
      <c r="R16" s="4">
        <f t="shared" si="9"/>
        <v>448000</v>
      </c>
      <c r="S16" s="4">
        <f t="shared" si="10"/>
        <v>1323.3574887999998</v>
      </c>
      <c r="T16" s="4">
        <f t="shared" si="11"/>
        <v>576000</v>
      </c>
      <c r="U16" s="4">
        <f t="shared" si="12"/>
        <v>1323.3574887999998</v>
      </c>
      <c r="V16" s="4">
        <f t="shared" si="13"/>
        <v>704000</v>
      </c>
      <c r="W16" s="4">
        <f t="shared" si="14"/>
        <v>1323.3574887999998</v>
      </c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</row>
    <row r="17" spans="1:76" s="4" customFormat="1" ht="12.75">
      <c r="A17" s="4" t="s">
        <v>106</v>
      </c>
      <c r="B17" s="4" t="s">
        <v>110</v>
      </c>
      <c r="C17" s="4">
        <v>40000</v>
      </c>
      <c r="D17" s="4">
        <f t="shared" si="15"/>
        <v>64000</v>
      </c>
      <c r="E17" s="4">
        <v>78.125</v>
      </c>
      <c r="F17" s="4">
        <v>50</v>
      </c>
      <c r="G17" s="4">
        <f t="shared" si="2"/>
        <v>335.9375</v>
      </c>
      <c r="I17" s="37">
        <v>2</v>
      </c>
      <c r="J17" s="4">
        <f t="shared" si="0"/>
        <v>325.74124439999997</v>
      </c>
      <c r="K17" s="37">
        <f t="shared" si="1"/>
        <v>0.01033873038125</v>
      </c>
      <c r="L17" s="4">
        <f t="shared" si="3"/>
        <v>64000</v>
      </c>
      <c r="M17" s="4">
        <f t="shared" si="4"/>
        <v>661.6787443999999</v>
      </c>
      <c r="N17" s="4">
        <f t="shared" si="5"/>
        <v>192000</v>
      </c>
      <c r="O17" s="4">
        <f t="shared" si="6"/>
        <v>1323.3574887999998</v>
      </c>
      <c r="P17" s="4">
        <f t="shared" si="7"/>
        <v>320000</v>
      </c>
      <c r="Q17" s="4">
        <f t="shared" si="8"/>
        <v>1323.3574887999998</v>
      </c>
      <c r="R17" s="4">
        <f t="shared" si="9"/>
        <v>448000</v>
      </c>
      <c r="S17" s="4">
        <f t="shared" si="10"/>
        <v>1323.3574887999998</v>
      </c>
      <c r="T17" s="4">
        <f t="shared" si="11"/>
        <v>576000</v>
      </c>
      <c r="U17" s="4">
        <f t="shared" si="12"/>
        <v>1323.3574887999998</v>
      </c>
      <c r="V17" s="4">
        <f t="shared" si="13"/>
        <v>704000</v>
      </c>
      <c r="W17" s="4">
        <f t="shared" si="14"/>
        <v>1323.3574887999998</v>
      </c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</row>
    <row r="18" spans="1:76" s="4" customFormat="1" ht="12.75">
      <c r="A18" s="4" t="s">
        <v>106</v>
      </c>
      <c r="B18" s="4" t="s">
        <v>111</v>
      </c>
      <c r="C18" s="4">
        <v>40000</v>
      </c>
      <c r="D18" s="4">
        <f t="shared" si="15"/>
        <v>64000</v>
      </c>
      <c r="E18" s="4">
        <v>78.125</v>
      </c>
      <c r="F18" s="4">
        <v>50</v>
      </c>
      <c r="G18" s="4">
        <f t="shared" si="2"/>
        <v>335.9375</v>
      </c>
      <c r="I18" s="37">
        <v>2</v>
      </c>
      <c r="J18" s="4">
        <f t="shared" si="0"/>
        <v>325.74124439999997</v>
      </c>
      <c r="K18" s="37">
        <f t="shared" si="1"/>
        <v>0.01033873038125</v>
      </c>
      <c r="L18" s="4">
        <f t="shared" si="3"/>
        <v>64000</v>
      </c>
      <c r="M18" s="4">
        <f t="shared" si="4"/>
        <v>661.6787443999999</v>
      </c>
      <c r="N18" s="4">
        <f t="shared" si="5"/>
        <v>192000</v>
      </c>
      <c r="O18" s="4">
        <f t="shared" si="6"/>
        <v>1323.3574887999998</v>
      </c>
      <c r="P18" s="4">
        <f t="shared" si="7"/>
        <v>320000</v>
      </c>
      <c r="Q18" s="4">
        <f t="shared" si="8"/>
        <v>1323.3574887999998</v>
      </c>
      <c r="R18" s="4">
        <f t="shared" si="9"/>
        <v>448000</v>
      </c>
      <c r="S18" s="4">
        <f t="shared" si="10"/>
        <v>1323.3574887999998</v>
      </c>
      <c r="T18" s="4">
        <f t="shared" si="11"/>
        <v>576000</v>
      </c>
      <c r="U18" s="4">
        <f t="shared" si="12"/>
        <v>1323.3574887999998</v>
      </c>
      <c r="V18" s="4">
        <f t="shared" si="13"/>
        <v>704000</v>
      </c>
      <c r="W18" s="4">
        <f t="shared" si="14"/>
        <v>1323.3574887999998</v>
      </c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</row>
    <row r="19" spans="1:76" s="4" customFormat="1" ht="12.75">
      <c r="A19" s="4" t="s">
        <v>106</v>
      </c>
      <c r="B19" s="4" t="s">
        <v>112</v>
      </c>
      <c r="C19" s="4">
        <v>40000</v>
      </c>
      <c r="D19" s="4">
        <f t="shared" si="15"/>
        <v>64000</v>
      </c>
      <c r="E19" s="4">
        <v>78.125</v>
      </c>
      <c r="F19" s="4">
        <v>50</v>
      </c>
      <c r="G19" s="4">
        <f t="shared" si="2"/>
        <v>335.9375</v>
      </c>
      <c r="I19" s="37">
        <v>3</v>
      </c>
      <c r="J19" s="4">
        <f t="shared" si="0"/>
        <v>488.6118666</v>
      </c>
      <c r="K19" s="37">
        <f t="shared" si="1"/>
        <v>0.012883583853125</v>
      </c>
      <c r="L19" s="4">
        <f t="shared" si="3"/>
        <v>64000</v>
      </c>
      <c r="M19" s="4">
        <f t="shared" si="4"/>
        <v>824.5493666</v>
      </c>
      <c r="N19" s="4">
        <f t="shared" si="5"/>
        <v>192000</v>
      </c>
      <c r="O19" s="4">
        <f t="shared" si="6"/>
        <v>1649.0987332</v>
      </c>
      <c r="P19" s="4">
        <f t="shared" si="7"/>
        <v>320000</v>
      </c>
      <c r="Q19" s="4">
        <f t="shared" si="8"/>
        <v>1649.0987332</v>
      </c>
      <c r="R19" s="4">
        <f t="shared" si="9"/>
        <v>448000</v>
      </c>
      <c r="S19" s="4">
        <f t="shared" si="10"/>
        <v>1649.0987332</v>
      </c>
      <c r="T19" s="4">
        <f t="shared" si="11"/>
        <v>576000</v>
      </c>
      <c r="U19" s="4">
        <f t="shared" si="12"/>
        <v>1649.0987332</v>
      </c>
      <c r="V19" s="4">
        <f t="shared" si="13"/>
        <v>704000</v>
      </c>
      <c r="W19" s="4">
        <f t="shared" si="14"/>
        <v>1649.0987332</v>
      </c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</row>
    <row r="20" spans="1:76" s="4" customFormat="1" ht="12.75">
      <c r="A20" s="4" t="s">
        <v>94</v>
      </c>
      <c r="B20" s="4" t="s">
        <v>98</v>
      </c>
      <c r="C20" s="4">
        <v>40000</v>
      </c>
      <c r="D20" s="4">
        <f t="shared" si="15"/>
        <v>64000</v>
      </c>
      <c r="E20" s="4">
        <v>312.5</v>
      </c>
      <c r="F20" s="4">
        <v>200</v>
      </c>
      <c r="G20" s="4">
        <f t="shared" si="2"/>
        <v>1343.75</v>
      </c>
      <c r="I20" s="37">
        <v>3</v>
      </c>
      <c r="J20" s="4">
        <f t="shared" si="0"/>
        <v>488.6118666</v>
      </c>
      <c r="K20" s="37">
        <f t="shared" si="1"/>
        <v>0.028630654165624998</v>
      </c>
      <c r="L20" s="4">
        <f t="shared" si="3"/>
        <v>64000</v>
      </c>
      <c r="M20" s="4">
        <f t="shared" si="4"/>
        <v>1832.3618666</v>
      </c>
      <c r="N20" s="4">
        <f t="shared" si="5"/>
        <v>192000</v>
      </c>
      <c r="O20" s="4">
        <f t="shared" si="6"/>
        <v>3664.7237332</v>
      </c>
      <c r="P20" s="4">
        <f t="shared" si="7"/>
        <v>320000</v>
      </c>
      <c r="Q20" s="4">
        <f t="shared" si="8"/>
        <v>3664.7237332</v>
      </c>
      <c r="R20" s="4">
        <f t="shared" si="9"/>
        <v>448000</v>
      </c>
      <c r="S20" s="4">
        <f t="shared" si="10"/>
        <v>3664.7237332</v>
      </c>
      <c r="T20" s="4">
        <f t="shared" si="11"/>
        <v>576000</v>
      </c>
      <c r="U20" s="4">
        <f t="shared" si="12"/>
        <v>3664.7237332</v>
      </c>
      <c r="V20" s="4">
        <f t="shared" si="13"/>
        <v>704000</v>
      </c>
      <c r="W20" s="4">
        <f t="shared" si="14"/>
        <v>3664.7237332</v>
      </c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</row>
    <row r="21" spans="1:76" s="4" customFormat="1" ht="12.75">
      <c r="A21" s="4" t="s">
        <v>134</v>
      </c>
      <c r="B21" s="4" t="s">
        <v>98</v>
      </c>
      <c r="C21" s="4">
        <v>40000</v>
      </c>
      <c r="D21" s="4">
        <f t="shared" si="15"/>
        <v>64000</v>
      </c>
      <c r="E21" s="4">
        <v>78.125</v>
      </c>
      <c r="F21" s="4">
        <v>50</v>
      </c>
      <c r="G21" s="4">
        <f t="shared" si="2"/>
        <v>335.9375</v>
      </c>
      <c r="I21" s="37">
        <v>3</v>
      </c>
      <c r="J21" s="4">
        <f t="shared" si="0"/>
        <v>488.6118666</v>
      </c>
      <c r="K21" s="37">
        <f t="shared" si="1"/>
        <v>0.012883583853125</v>
      </c>
      <c r="L21" s="4">
        <f t="shared" si="3"/>
        <v>64000</v>
      </c>
      <c r="M21" s="4">
        <f t="shared" si="4"/>
        <v>824.5493666</v>
      </c>
      <c r="N21" s="4">
        <f t="shared" si="5"/>
        <v>192000</v>
      </c>
      <c r="O21" s="4">
        <f t="shared" si="6"/>
        <v>1649.0987332</v>
      </c>
      <c r="P21" s="4">
        <f t="shared" si="7"/>
        <v>320000</v>
      </c>
      <c r="Q21" s="4">
        <f t="shared" si="8"/>
        <v>1649.0987332</v>
      </c>
      <c r="R21" s="4">
        <f t="shared" si="9"/>
        <v>448000</v>
      </c>
      <c r="S21" s="4">
        <f t="shared" si="10"/>
        <v>1649.0987332</v>
      </c>
      <c r="T21" s="4">
        <f t="shared" si="11"/>
        <v>576000</v>
      </c>
      <c r="U21" s="4">
        <f t="shared" si="12"/>
        <v>1649.0987332</v>
      </c>
      <c r="V21" s="4">
        <f t="shared" si="13"/>
        <v>704000</v>
      </c>
      <c r="W21" s="4">
        <f t="shared" si="14"/>
        <v>1649.0987332</v>
      </c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</row>
    <row r="22" spans="1:76" s="4" customFormat="1" ht="11.25" customHeight="1">
      <c r="A22" s="4" t="s">
        <v>121</v>
      </c>
      <c r="B22" s="4" t="s">
        <v>122</v>
      </c>
      <c r="C22" s="4">
        <v>60000</v>
      </c>
      <c r="D22" s="4">
        <f t="shared" si="15"/>
        <v>96000</v>
      </c>
      <c r="E22" s="4">
        <v>156.25</v>
      </c>
      <c r="F22" s="4">
        <v>100</v>
      </c>
      <c r="G22" s="4">
        <f t="shared" si="2"/>
        <v>671.875</v>
      </c>
      <c r="I22" s="37">
        <v>2</v>
      </c>
      <c r="J22" s="4">
        <f t="shared" si="0"/>
        <v>325.74124439999997</v>
      </c>
      <c r="K22" s="37">
        <f t="shared" si="1"/>
        <v>0.010391835879166665</v>
      </c>
      <c r="L22" s="4">
        <f t="shared" si="3"/>
        <v>96000</v>
      </c>
      <c r="M22" s="4">
        <f t="shared" si="4"/>
        <v>997.6162443999998</v>
      </c>
      <c r="N22" s="4">
        <f t="shared" si="5"/>
        <v>192000</v>
      </c>
      <c r="O22" s="4">
        <f t="shared" si="6"/>
        <v>997.6162443999998</v>
      </c>
      <c r="P22" s="4">
        <f t="shared" si="7"/>
        <v>288000</v>
      </c>
      <c r="Q22" s="4">
        <f t="shared" si="8"/>
        <v>997.6162443999998</v>
      </c>
      <c r="R22" s="4">
        <f t="shared" si="9"/>
        <v>480000</v>
      </c>
      <c r="S22" s="4">
        <f t="shared" si="10"/>
        <v>1995.2324887999996</v>
      </c>
      <c r="T22" s="4">
        <f t="shared" si="11"/>
        <v>576000</v>
      </c>
      <c r="U22" s="4">
        <f t="shared" si="12"/>
        <v>997.6162443999998</v>
      </c>
      <c r="V22" s="4">
        <f t="shared" si="13"/>
        <v>672000</v>
      </c>
      <c r="W22" s="4">
        <f t="shared" si="14"/>
        <v>997.6162443999998</v>
      </c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</row>
    <row r="23" spans="1:76" s="24" customFormat="1" ht="11.25" customHeight="1">
      <c r="A23" s="4" t="s">
        <v>121</v>
      </c>
      <c r="B23" s="4" t="s">
        <v>123</v>
      </c>
      <c r="C23" s="4">
        <v>60000</v>
      </c>
      <c r="D23" s="4">
        <f t="shared" si="15"/>
        <v>96000</v>
      </c>
      <c r="E23" s="4">
        <v>78.125</v>
      </c>
      <c r="F23" s="4">
        <v>50</v>
      </c>
      <c r="G23" s="4">
        <f t="shared" si="2"/>
        <v>335.9375</v>
      </c>
      <c r="H23" s="4"/>
      <c r="I23" s="37">
        <v>1</v>
      </c>
      <c r="J23" s="4">
        <f t="shared" si="0"/>
        <v>162.87062219999999</v>
      </c>
      <c r="K23" s="37">
        <f t="shared" si="1"/>
        <v>0.0051959179395833326</v>
      </c>
      <c r="L23" s="4">
        <f t="shared" si="3"/>
        <v>96000</v>
      </c>
      <c r="M23" s="4">
        <f t="shared" si="4"/>
        <v>498.8081221999999</v>
      </c>
      <c r="N23" s="4">
        <f t="shared" si="5"/>
        <v>192000</v>
      </c>
      <c r="O23" s="4">
        <f t="shared" si="6"/>
        <v>498.8081221999999</v>
      </c>
      <c r="P23" s="4">
        <f t="shared" si="7"/>
        <v>288000</v>
      </c>
      <c r="Q23" s="4">
        <f t="shared" si="8"/>
        <v>498.8081221999999</v>
      </c>
      <c r="R23" s="4">
        <f t="shared" si="9"/>
        <v>480000</v>
      </c>
      <c r="S23" s="4">
        <f t="shared" si="10"/>
        <v>997.6162443999998</v>
      </c>
      <c r="T23" s="4">
        <f t="shared" si="11"/>
        <v>576000</v>
      </c>
      <c r="U23" s="4">
        <f t="shared" si="12"/>
        <v>498.8081221999999</v>
      </c>
      <c r="V23" s="4">
        <f t="shared" si="13"/>
        <v>672000</v>
      </c>
      <c r="W23" s="4">
        <f t="shared" si="14"/>
        <v>498.8081221999999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</row>
    <row r="24" spans="1:76" s="4" customFormat="1" ht="12.75">
      <c r="A24" s="4" t="s">
        <v>106</v>
      </c>
      <c r="B24" s="4" t="s">
        <v>140</v>
      </c>
      <c r="C24" s="4">
        <v>45000</v>
      </c>
      <c r="D24" s="4">
        <v>100000</v>
      </c>
      <c r="E24" s="4">
        <v>2500</v>
      </c>
      <c r="F24" s="4">
        <f>8*200</f>
        <v>1600</v>
      </c>
      <c r="G24" s="4">
        <f t="shared" si="2"/>
        <v>10750</v>
      </c>
      <c r="I24" s="37">
        <v>3</v>
      </c>
      <c r="J24" s="4">
        <f t="shared" si="0"/>
        <v>488.6118666</v>
      </c>
      <c r="K24" s="37">
        <f t="shared" si="1"/>
        <v>0.112386118666</v>
      </c>
      <c r="L24" s="4">
        <f t="shared" si="3"/>
        <v>100000</v>
      </c>
      <c r="M24" s="4">
        <f t="shared" si="4"/>
        <v>11238.6118666</v>
      </c>
      <c r="N24" s="4">
        <f t="shared" si="5"/>
        <v>200000</v>
      </c>
      <c r="O24" s="4">
        <f t="shared" si="6"/>
        <v>11238.6118666</v>
      </c>
      <c r="P24" s="4">
        <f t="shared" si="7"/>
        <v>300000</v>
      </c>
      <c r="Q24" s="4">
        <f t="shared" si="8"/>
        <v>11238.6118666</v>
      </c>
      <c r="R24" s="4">
        <f t="shared" si="9"/>
        <v>400000</v>
      </c>
      <c r="S24" s="4">
        <f t="shared" si="10"/>
        <v>11238.6118666</v>
      </c>
      <c r="T24" s="4">
        <f t="shared" si="11"/>
        <v>600000</v>
      </c>
      <c r="U24" s="4">
        <f t="shared" si="12"/>
        <v>22477.2237332</v>
      </c>
      <c r="V24" s="4">
        <f t="shared" si="13"/>
        <v>700000</v>
      </c>
      <c r="W24" s="4">
        <f t="shared" si="14"/>
        <v>11238.6118666</v>
      </c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</row>
    <row r="25" spans="1:76" s="4" customFormat="1" ht="12.75">
      <c r="A25" s="4" t="s">
        <v>114</v>
      </c>
      <c r="B25" s="4" t="s">
        <v>118</v>
      </c>
      <c r="C25" s="4">
        <v>6500</v>
      </c>
      <c r="D25" s="4">
        <v>100000</v>
      </c>
      <c r="E25" s="4">
        <v>78.125</v>
      </c>
      <c r="F25" s="4">
        <v>50</v>
      </c>
      <c r="G25" s="4">
        <f t="shared" si="2"/>
        <v>335.9375</v>
      </c>
      <c r="I25" s="37">
        <v>0.5</v>
      </c>
      <c r="J25" s="4">
        <f t="shared" si="0"/>
        <v>81.43531109999999</v>
      </c>
      <c r="K25" s="37">
        <f t="shared" si="1"/>
        <v>0.004173728111</v>
      </c>
      <c r="L25" s="4">
        <f t="shared" si="3"/>
        <v>100000</v>
      </c>
      <c r="M25" s="4">
        <f t="shared" si="4"/>
        <v>417.3728111</v>
      </c>
      <c r="N25" s="4">
        <f t="shared" si="5"/>
        <v>200000</v>
      </c>
      <c r="O25" s="4">
        <f t="shared" si="6"/>
        <v>417.3728111</v>
      </c>
      <c r="P25" s="4">
        <f t="shared" si="7"/>
        <v>300000</v>
      </c>
      <c r="Q25" s="4">
        <f t="shared" si="8"/>
        <v>417.3728111</v>
      </c>
      <c r="R25" s="4">
        <f t="shared" si="9"/>
        <v>400000</v>
      </c>
      <c r="S25" s="4">
        <f t="shared" si="10"/>
        <v>417.3728111</v>
      </c>
      <c r="T25" s="4">
        <f t="shared" si="11"/>
        <v>600000</v>
      </c>
      <c r="U25" s="4">
        <f t="shared" si="12"/>
        <v>834.7456222</v>
      </c>
      <c r="V25" s="4">
        <f t="shared" si="13"/>
        <v>700000</v>
      </c>
      <c r="W25" s="4">
        <f t="shared" si="14"/>
        <v>417.3728111</v>
      </c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</row>
    <row r="26" spans="1:76" s="4" customFormat="1" ht="12.75">
      <c r="A26" s="4" t="s">
        <v>106</v>
      </c>
      <c r="B26" s="4" t="s">
        <v>111</v>
      </c>
      <c r="C26" s="4">
        <v>40000</v>
      </c>
      <c r="D26" s="4">
        <v>120000</v>
      </c>
      <c r="E26" s="4">
        <v>156.25</v>
      </c>
      <c r="F26" s="4">
        <v>100</v>
      </c>
      <c r="G26" s="4">
        <f t="shared" si="2"/>
        <v>671.875</v>
      </c>
      <c r="I26" s="37">
        <v>2</v>
      </c>
      <c r="J26" s="4">
        <f t="shared" si="0"/>
        <v>325.74124439999997</v>
      </c>
      <c r="K26" s="37">
        <f t="shared" si="1"/>
        <v>0.008313468703333332</v>
      </c>
      <c r="L26" s="4">
        <f t="shared" si="3"/>
        <v>120000</v>
      </c>
      <c r="M26" s="4">
        <f t="shared" si="4"/>
        <v>997.6162443999998</v>
      </c>
      <c r="N26" s="4">
        <f t="shared" si="5"/>
        <v>240000</v>
      </c>
      <c r="O26" s="4">
        <f t="shared" si="6"/>
        <v>997.6162443999998</v>
      </c>
      <c r="P26" s="4">
        <f t="shared" si="7"/>
        <v>360000</v>
      </c>
      <c r="Q26" s="4">
        <f t="shared" si="8"/>
        <v>997.6162443999998</v>
      </c>
      <c r="R26" s="4">
        <f t="shared" si="9"/>
        <v>480000</v>
      </c>
      <c r="S26" s="4">
        <f t="shared" si="10"/>
        <v>997.6162443999998</v>
      </c>
      <c r="T26" s="4">
        <f t="shared" si="11"/>
        <v>600000</v>
      </c>
      <c r="U26" s="4">
        <f t="shared" si="12"/>
        <v>997.6162443999998</v>
      </c>
      <c r="V26" s="4">
        <f t="shared" si="13"/>
        <v>720000</v>
      </c>
      <c r="W26" s="4">
        <f t="shared" si="14"/>
        <v>997.6162443999998</v>
      </c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</row>
    <row r="27" spans="1:76" s="4" customFormat="1" ht="12.75">
      <c r="A27" s="4" t="s">
        <v>106</v>
      </c>
      <c r="B27" s="4" t="s">
        <v>112</v>
      </c>
      <c r="C27" s="4">
        <v>40000</v>
      </c>
      <c r="D27" s="4">
        <v>120000</v>
      </c>
      <c r="E27" s="4">
        <v>156.25</v>
      </c>
      <c r="F27" s="4">
        <v>100</v>
      </c>
      <c r="G27" s="4">
        <f t="shared" si="2"/>
        <v>671.875</v>
      </c>
      <c r="I27" s="37">
        <v>3</v>
      </c>
      <c r="J27" s="4">
        <f t="shared" si="0"/>
        <v>488.6118666</v>
      </c>
      <c r="K27" s="37">
        <f t="shared" si="1"/>
        <v>0.009670723888333333</v>
      </c>
      <c r="L27" s="4">
        <f t="shared" si="3"/>
        <v>120000</v>
      </c>
      <c r="M27" s="4">
        <f t="shared" si="4"/>
        <v>1160.4868666</v>
      </c>
      <c r="N27" s="4">
        <f t="shared" si="5"/>
        <v>240000</v>
      </c>
      <c r="O27" s="4">
        <f t="shared" si="6"/>
        <v>1160.4868666</v>
      </c>
      <c r="P27" s="4">
        <f t="shared" si="7"/>
        <v>360000</v>
      </c>
      <c r="Q27" s="4">
        <f t="shared" si="8"/>
        <v>1160.4868666</v>
      </c>
      <c r="R27" s="4">
        <f t="shared" si="9"/>
        <v>480000</v>
      </c>
      <c r="S27" s="4">
        <f t="shared" si="10"/>
        <v>1160.4868666</v>
      </c>
      <c r="T27" s="4">
        <f t="shared" si="11"/>
        <v>600000</v>
      </c>
      <c r="U27" s="4">
        <f t="shared" si="12"/>
        <v>1160.4868666</v>
      </c>
      <c r="V27" s="4">
        <f t="shared" si="13"/>
        <v>720000</v>
      </c>
      <c r="W27" s="4">
        <f t="shared" si="14"/>
        <v>1160.4868666</v>
      </c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</row>
    <row r="28" spans="1:76" s="73" customFormat="1" ht="12.75">
      <c r="A28" s="73" t="s">
        <v>121</v>
      </c>
      <c r="B28" s="73" t="s">
        <v>124</v>
      </c>
      <c r="C28" s="73">
        <v>80000</v>
      </c>
      <c r="D28" s="73">
        <f aca="true" t="shared" si="16" ref="D28:D42">C28*1.6</f>
        <v>128000</v>
      </c>
      <c r="E28" s="73">
        <v>156.25</v>
      </c>
      <c r="F28" s="73">
        <v>100</v>
      </c>
      <c r="G28" s="73">
        <f t="shared" si="2"/>
        <v>671.875</v>
      </c>
      <c r="I28" s="74">
        <v>2</v>
      </c>
      <c r="J28" s="73">
        <f t="shared" si="0"/>
        <v>325.74124439999997</v>
      </c>
      <c r="K28" s="74">
        <f t="shared" si="1"/>
        <v>0.007793876909375</v>
      </c>
      <c r="N28" s="73">
        <f>+D28</f>
        <v>128000</v>
      </c>
      <c r="O28" s="73">
        <f>+K28*D28</f>
        <v>997.6162443999999</v>
      </c>
      <c r="P28" s="73">
        <f>INT((+$P$3-N28)/D28)*D28+N28</f>
        <v>256000</v>
      </c>
      <c r="Q28" s="73">
        <f>INT((+$P$3-N28)/D28)*K28*D28</f>
        <v>997.6162443999999</v>
      </c>
      <c r="R28" s="73">
        <f>INT((+$R$3-P28)/D28)*D28+P28</f>
        <v>384000</v>
      </c>
      <c r="S28" s="73">
        <f>INT((+$R$3-P28)/D28)*K28*D28</f>
        <v>997.6162443999999</v>
      </c>
      <c r="T28" s="73">
        <f>INT((+$T$3-R28)/D28)*D28+R28</f>
        <v>512000</v>
      </c>
      <c r="U28" s="73">
        <f>INT((+$T$3-R28)/D28)*D28*K28</f>
        <v>997.6162443999999</v>
      </c>
      <c r="V28" s="76">
        <f>INT((+$V$3-T28)/D28)*D28+T28</f>
        <v>640000</v>
      </c>
      <c r="W28" s="76">
        <f>INT((+$V$3-T28)/D28)*K28*D28</f>
        <v>997.6162443999999</v>
      </c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</row>
    <row r="29" spans="1:76" s="4" customFormat="1" ht="12.75">
      <c r="A29" s="4" t="s">
        <v>94</v>
      </c>
      <c r="B29" s="4" t="s">
        <v>96</v>
      </c>
      <c r="C29" s="4">
        <v>80000</v>
      </c>
      <c r="D29" s="4">
        <f t="shared" si="16"/>
        <v>128000</v>
      </c>
      <c r="E29" s="4">
        <v>78.125</v>
      </c>
      <c r="F29" s="4">
        <v>50</v>
      </c>
      <c r="G29" s="4">
        <f t="shared" si="2"/>
        <v>335.9375</v>
      </c>
      <c r="I29" s="37">
        <v>1</v>
      </c>
      <c r="J29" s="4">
        <f t="shared" si="0"/>
        <v>162.87062219999999</v>
      </c>
      <c r="K29" s="37">
        <f t="shared" si="1"/>
        <v>0.0038969384546875</v>
      </c>
      <c r="N29" s="4">
        <f>+D29</f>
        <v>128000</v>
      </c>
      <c r="O29" s="4">
        <f>+K29*D29</f>
        <v>498.80812219999996</v>
      </c>
      <c r="P29" s="4">
        <f aca="true" t="shared" si="17" ref="P29:P45">INT((+$P$3-N29)/D29)*D29+N29</f>
        <v>256000</v>
      </c>
      <c r="Q29" s="4">
        <f aca="true" t="shared" si="18" ref="Q29:Q45">INT((+$P$3-N29)/D29)*K29*D29</f>
        <v>498.80812219999996</v>
      </c>
      <c r="R29" s="4">
        <f>INT((+$R$3-P29)/D29)*D29+P29</f>
        <v>384000</v>
      </c>
      <c r="S29" s="4">
        <f>INT((+$R$3-P29)/D29)*K29*D29</f>
        <v>498.80812219999996</v>
      </c>
      <c r="T29" s="4">
        <f aca="true" t="shared" si="19" ref="T29:T45">INT((+$T$3-R29)/D29)*D29+R29</f>
        <v>512000</v>
      </c>
      <c r="U29" s="76">
        <f aca="true" t="shared" si="20" ref="U29:U45">INT((+$T$3-R29)/D29)*D29*K29</f>
        <v>498.80812219999996</v>
      </c>
      <c r="V29" s="76">
        <f aca="true" t="shared" si="21" ref="V29:V60">INT((+$V$3-T29)/D29)*D29+T29</f>
        <v>640000</v>
      </c>
      <c r="W29" s="76">
        <f aca="true" t="shared" si="22" ref="W29:W45">INT((+$V$3-T29)/D29)*K29*D29</f>
        <v>498.80812219999996</v>
      </c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</row>
    <row r="30" spans="1:76" s="24" customFormat="1" ht="12.75">
      <c r="A30" s="4" t="s">
        <v>64</v>
      </c>
      <c r="B30" s="4" t="s">
        <v>235</v>
      </c>
      <c r="C30" s="4">
        <v>80000</v>
      </c>
      <c r="D30" s="4">
        <f t="shared" si="16"/>
        <v>128000</v>
      </c>
      <c r="E30" s="4">
        <v>156.25</v>
      </c>
      <c r="F30" s="4">
        <v>100</v>
      </c>
      <c r="G30" s="4">
        <f t="shared" si="2"/>
        <v>671.875</v>
      </c>
      <c r="H30" s="4"/>
      <c r="I30" s="37">
        <v>1.5</v>
      </c>
      <c r="J30" s="4">
        <f t="shared" si="0"/>
        <v>244.3059333</v>
      </c>
      <c r="K30" s="37">
        <f t="shared" si="1"/>
        <v>0.0071576635414062496</v>
      </c>
      <c r="L30" s="4"/>
      <c r="M30" s="4"/>
      <c r="N30" s="4">
        <f>+D30</f>
        <v>128000</v>
      </c>
      <c r="O30" s="4">
        <f aca="true" t="shared" si="23" ref="O30:O45">+K30*D30</f>
        <v>916.1809333</v>
      </c>
      <c r="P30" s="4">
        <f t="shared" si="17"/>
        <v>256000</v>
      </c>
      <c r="Q30" s="4">
        <f t="shared" si="18"/>
        <v>916.1809333</v>
      </c>
      <c r="R30" s="4">
        <f aca="true" t="shared" si="24" ref="R30:R45">INT((+$R$3-P30)/D30)*D30+P30</f>
        <v>384000</v>
      </c>
      <c r="S30" s="4">
        <f aca="true" t="shared" si="25" ref="S30:S45">INT((+$R$3-P30)/D30)*K30*D30</f>
        <v>916.1809333</v>
      </c>
      <c r="T30" s="4">
        <f t="shared" si="19"/>
        <v>512000</v>
      </c>
      <c r="U30" s="76">
        <f t="shared" si="20"/>
        <v>916.1809333</v>
      </c>
      <c r="V30" s="76">
        <f t="shared" si="21"/>
        <v>640000</v>
      </c>
      <c r="W30" s="76">
        <f t="shared" si="22"/>
        <v>916.1809333</v>
      </c>
      <c r="X30" s="4">
        <f>5600*80</f>
        <v>448000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</row>
    <row r="31" spans="1:76" s="4" customFormat="1" ht="12.75">
      <c r="A31" s="4" t="s">
        <v>64</v>
      </c>
      <c r="B31" s="4" t="s">
        <v>71</v>
      </c>
      <c r="C31" s="4">
        <v>80000</v>
      </c>
      <c r="D31" s="4">
        <f t="shared" si="16"/>
        <v>128000</v>
      </c>
      <c r="E31" s="4">
        <v>468.75</v>
      </c>
      <c r="F31" s="4">
        <v>300</v>
      </c>
      <c r="G31" s="4">
        <f t="shared" si="2"/>
        <v>2015.625</v>
      </c>
      <c r="I31" s="37">
        <v>1</v>
      </c>
      <c r="J31" s="4">
        <f t="shared" si="0"/>
        <v>162.87062219999999</v>
      </c>
      <c r="K31" s="37">
        <f t="shared" si="1"/>
        <v>0.017019497048437502</v>
      </c>
      <c r="M31" s="37"/>
      <c r="N31" s="4">
        <f>+D31</f>
        <v>128000</v>
      </c>
      <c r="O31" s="4">
        <f t="shared" si="23"/>
        <v>2178.4956222</v>
      </c>
      <c r="P31" s="4">
        <f t="shared" si="17"/>
        <v>256000</v>
      </c>
      <c r="Q31" s="4">
        <f t="shared" si="18"/>
        <v>2178.4956222</v>
      </c>
      <c r="R31" s="4">
        <f t="shared" si="24"/>
        <v>384000</v>
      </c>
      <c r="S31" s="4">
        <f t="shared" si="25"/>
        <v>2178.4956222</v>
      </c>
      <c r="T31" s="4">
        <f t="shared" si="19"/>
        <v>512000</v>
      </c>
      <c r="U31" s="76">
        <f t="shared" si="20"/>
        <v>2178.4956222</v>
      </c>
      <c r="V31" s="76">
        <f t="shared" si="21"/>
        <v>640000</v>
      </c>
      <c r="W31" s="76">
        <f t="shared" si="22"/>
        <v>2178.4956222</v>
      </c>
      <c r="X31" s="4">
        <f>5375*80</f>
        <v>430000</v>
      </c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</row>
    <row r="32" spans="1:76" s="4" customFormat="1" ht="12.75">
      <c r="A32" s="4" t="s">
        <v>80</v>
      </c>
      <c r="B32" s="4" t="s">
        <v>82</v>
      </c>
      <c r="C32" s="4">
        <v>80000</v>
      </c>
      <c r="D32" s="4">
        <f t="shared" si="16"/>
        <v>128000</v>
      </c>
      <c r="E32" s="4">
        <v>625</v>
      </c>
      <c r="F32" s="4">
        <v>400</v>
      </c>
      <c r="G32" s="4">
        <f t="shared" si="2"/>
        <v>2687.5</v>
      </c>
      <c r="I32" s="37">
        <v>10</v>
      </c>
      <c r="J32" s="4">
        <f t="shared" si="0"/>
        <v>1628.7062219999998</v>
      </c>
      <c r="K32" s="37">
        <f t="shared" si="1"/>
        <v>0.033720361109375</v>
      </c>
      <c r="N32" s="4">
        <f aca="true" t="shared" si="26" ref="N32:N45">+D32</f>
        <v>128000</v>
      </c>
      <c r="O32" s="4">
        <f t="shared" si="23"/>
        <v>4316.206222</v>
      </c>
      <c r="P32" s="4">
        <f t="shared" si="17"/>
        <v>256000</v>
      </c>
      <c r="Q32" s="4">
        <f t="shared" si="18"/>
        <v>4316.206222</v>
      </c>
      <c r="R32" s="4">
        <f t="shared" si="24"/>
        <v>384000</v>
      </c>
      <c r="S32" s="4">
        <f t="shared" si="25"/>
        <v>4316.206222</v>
      </c>
      <c r="T32" s="4">
        <f t="shared" si="19"/>
        <v>512000</v>
      </c>
      <c r="U32" s="76">
        <f t="shared" si="20"/>
        <v>4316.206222</v>
      </c>
      <c r="V32" s="76">
        <f t="shared" si="21"/>
        <v>640000</v>
      </c>
      <c r="W32" s="76">
        <f t="shared" si="22"/>
        <v>4316.206222</v>
      </c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</row>
    <row r="33" spans="1:76" s="4" customFormat="1" ht="12.75">
      <c r="A33" s="4" t="s">
        <v>106</v>
      </c>
      <c r="B33" s="4" t="s">
        <v>109</v>
      </c>
      <c r="C33" s="4">
        <v>100000</v>
      </c>
      <c r="D33" s="4">
        <f t="shared" si="16"/>
        <v>160000</v>
      </c>
      <c r="E33" s="4">
        <v>312.5</v>
      </c>
      <c r="F33" s="4">
        <f>2*100</f>
        <v>200</v>
      </c>
      <c r="G33" s="4">
        <f t="shared" si="2"/>
        <v>1343.75</v>
      </c>
      <c r="I33" s="37">
        <v>5</v>
      </c>
      <c r="J33" s="4">
        <f t="shared" si="0"/>
        <v>814.3531109999999</v>
      </c>
      <c r="K33" s="37">
        <f t="shared" si="1"/>
        <v>0.013488144443749999</v>
      </c>
      <c r="N33" s="4">
        <f t="shared" si="26"/>
        <v>160000</v>
      </c>
      <c r="O33" s="4">
        <f t="shared" si="23"/>
        <v>2158.103111</v>
      </c>
      <c r="P33" s="4">
        <f t="shared" si="17"/>
        <v>320000</v>
      </c>
      <c r="Q33" s="4">
        <f t="shared" si="18"/>
        <v>2158.103111</v>
      </c>
      <c r="R33" s="4">
        <f t="shared" si="24"/>
        <v>480000</v>
      </c>
      <c r="S33" s="4">
        <f t="shared" si="25"/>
        <v>2158.103111</v>
      </c>
      <c r="T33" s="4">
        <f t="shared" si="19"/>
        <v>480000</v>
      </c>
      <c r="U33" s="76">
        <f t="shared" si="20"/>
        <v>0</v>
      </c>
      <c r="V33" s="76">
        <f t="shared" si="21"/>
        <v>640000</v>
      </c>
      <c r="W33" s="76">
        <f t="shared" si="22"/>
        <v>2158.103111</v>
      </c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</row>
    <row r="34" spans="1:76" s="4" customFormat="1" ht="12.75">
      <c r="A34" s="4" t="s">
        <v>106</v>
      </c>
      <c r="B34" s="4" t="s">
        <v>109</v>
      </c>
      <c r="C34" s="4">
        <v>100000</v>
      </c>
      <c r="D34" s="4">
        <f t="shared" si="16"/>
        <v>160000</v>
      </c>
      <c r="E34" s="4">
        <v>312.5</v>
      </c>
      <c r="F34" s="4">
        <f>2*100</f>
        <v>200</v>
      </c>
      <c r="G34" s="4">
        <f t="shared" si="2"/>
        <v>1343.75</v>
      </c>
      <c r="I34" s="37">
        <v>5</v>
      </c>
      <c r="J34" s="4">
        <f t="shared" si="0"/>
        <v>814.3531109999999</v>
      </c>
      <c r="K34" s="37">
        <f t="shared" si="1"/>
        <v>0.013488144443749999</v>
      </c>
      <c r="N34" s="4">
        <f t="shared" si="26"/>
        <v>160000</v>
      </c>
      <c r="O34" s="4">
        <f t="shared" si="23"/>
        <v>2158.103111</v>
      </c>
      <c r="P34" s="4">
        <f t="shared" si="17"/>
        <v>320000</v>
      </c>
      <c r="Q34" s="4">
        <f t="shared" si="18"/>
        <v>2158.103111</v>
      </c>
      <c r="R34" s="4">
        <f t="shared" si="24"/>
        <v>480000</v>
      </c>
      <c r="S34" s="4">
        <f t="shared" si="25"/>
        <v>2158.103111</v>
      </c>
      <c r="T34" s="4">
        <f t="shared" si="19"/>
        <v>480000</v>
      </c>
      <c r="U34" s="76">
        <f t="shared" si="20"/>
        <v>0</v>
      </c>
      <c r="V34" s="76">
        <f t="shared" si="21"/>
        <v>640000</v>
      </c>
      <c r="W34" s="76">
        <f t="shared" si="22"/>
        <v>2158.103111</v>
      </c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</row>
    <row r="35" spans="1:76" s="4" customFormat="1" ht="12.75">
      <c r="A35" s="4" t="s">
        <v>73</v>
      </c>
      <c r="B35" s="4" t="s">
        <v>78</v>
      </c>
      <c r="C35" s="4">
        <v>100000</v>
      </c>
      <c r="D35" s="4">
        <f t="shared" si="16"/>
        <v>160000</v>
      </c>
      <c r="E35" s="4">
        <v>312.5</v>
      </c>
      <c r="F35" s="4">
        <v>200</v>
      </c>
      <c r="G35" s="4">
        <f t="shared" si="2"/>
        <v>1343.75</v>
      </c>
      <c r="I35" s="37">
        <v>1</v>
      </c>
      <c r="J35" s="4">
        <f t="shared" si="0"/>
        <v>162.87062219999999</v>
      </c>
      <c r="K35" s="37">
        <f t="shared" si="1"/>
        <v>0.00941637888875</v>
      </c>
      <c r="N35" s="4">
        <f t="shared" si="26"/>
        <v>160000</v>
      </c>
      <c r="O35" s="4">
        <f t="shared" si="23"/>
        <v>1506.6206222</v>
      </c>
      <c r="P35" s="4">
        <f t="shared" si="17"/>
        <v>320000</v>
      </c>
      <c r="Q35" s="4">
        <f t="shared" si="18"/>
        <v>1506.6206222</v>
      </c>
      <c r="R35" s="4">
        <f t="shared" si="24"/>
        <v>480000</v>
      </c>
      <c r="S35" s="4">
        <f t="shared" si="25"/>
        <v>1506.6206222</v>
      </c>
      <c r="T35" s="4">
        <f t="shared" si="19"/>
        <v>480000</v>
      </c>
      <c r="U35" s="76">
        <f t="shared" si="20"/>
        <v>0</v>
      </c>
      <c r="V35" s="76">
        <f t="shared" si="21"/>
        <v>640000</v>
      </c>
      <c r="W35" s="76">
        <f t="shared" si="22"/>
        <v>1506.6206222</v>
      </c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</row>
    <row r="36" spans="1:76" s="4" customFormat="1" ht="12.75">
      <c r="A36" s="4" t="s">
        <v>126</v>
      </c>
      <c r="B36" s="4" t="s">
        <v>127</v>
      </c>
      <c r="C36" s="4">
        <v>100000</v>
      </c>
      <c r="D36" s="4">
        <f t="shared" si="16"/>
        <v>160000</v>
      </c>
      <c r="E36" s="4">
        <v>625</v>
      </c>
      <c r="F36" s="4">
        <v>400</v>
      </c>
      <c r="G36" s="4">
        <f t="shared" si="2"/>
        <v>2687.5</v>
      </c>
      <c r="I36" s="37"/>
      <c r="J36" s="4">
        <f t="shared" si="0"/>
        <v>0</v>
      </c>
      <c r="K36" s="37">
        <f t="shared" si="1"/>
        <v>0.016796875</v>
      </c>
      <c r="N36" s="4">
        <f t="shared" si="26"/>
        <v>160000</v>
      </c>
      <c r="O36" s="4">
        <f t="shared" si="23"/>
        <v>2687.5</v>
      </c>
      <c r="P36" s="4">
        <f t="shared" si="17"/>
        <v>320000</v>
      </c>
      <c r="Q36" s="4">
        <f t="shared" si="18"/>
        <v>2687.5</v>
      </c>
      <c r="R36" s="4">
        <f t="shared" si="24"/>
        <v>480000</v>
      </c>
      <c r="S36" s="4">
        <f t="shared" si="25"/>
        <v>2687.5</v>
      </c>
      <c r="T36" s="4">
        <f t="shared" si="19"/>
        <v>480000</v>
      </c>
      <c r="U36" s="76">
        <f t="shared" si="20"/>
        <v>0</v>
      </c>
      <c r="V36" s="76">
        <f t="shared" si="21"/>
        <v>640000</v>
      </c>
      <c r="W36" s="76">
        <f t="shared" si="22"/>
        <v>2687.5</v>
      </c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</row>
    <row r="37" spans="1:76" s="4" customFormat="1" ht="12.75">
      <c r="A37" s="4" t="s">
        <v>141</v>
      </c>
      <c r="B37" s="4" t="s">
        <v>143</v>
      </c>
      <c r="C37" s="4">
        <v>100000</v>
      </c>
      <c r="D37" s="4">
        <f t="shared" si="16"/>
        <v>160000</v>
      </c>
      <c r="E37" s="4">
        <v>781.25</v>
      </c>
      <c r="F37" s="4">
        <v>500</v>
      </c>
      <c r="G37" s="4">
        <f t="shared" si="2"/>
        <v>3359.375</v>
      </c>
      <c r="I37" s="37"/>
      <c r="J37" s="4">
        <f t="shared" si="0"/>
        <v>0</v>
      </c>
      <c r="K37" s="37">
        <f t="shared" si="1"/>
        <v>0.02099609375</v>
      </c>
      <c r="N37" s="4">
        <f t="shared" si="26"/>
        <v>160000</v>
      </c>
      <c r="O37" s="4">
        <f t="shared" si="23"/>
        <v>3359.375</v>
      </c>
      <c r="P37" s="4">
        <f t="shared" si="17"/>
        <v>320000</v>
      </c>
      <c r="Q37" s="4">
        <f t="shared" si="18"/>
        <v>3359.375</v>
      </c>
      <c r="R37" s="4">
        <f t="shared" si="24"/>
        <v>480000</v>
      </c>
      <c r="S37" s="4">
        <f t="shared" si="25"/>
        <v>3359.375</v>
      </c>
      <c r="T37" s="4">
        <f t="shared" si="19"/>
        <v>480000</v>
      </c>
      <c r="U37" s="76">
        <f t="shared" si="20"/>
        <v>0</v>
      </c>
      <c r="V37" s="76">
        <f t="shared" si="21"/>
        <v>640000</v>
      </c>
      <c r="W37" s="76">
        <f t="shared" si="22"/>
        <v>3359.375</v>
      </c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</row>
    <row r="38" spans="1:76" s="4" customFormat="1" ht="12.75">
      <c r="A38" s="4" t="s">
        <v>141</v>
      </c>
      <c r="B38" s="4" t="s">
        <v>145</v>
      </c>
      <c r="C38" s="4">
        <v>100000</v>
      </c>
      <c r="D38" s="4">
        <f t="shared" si="16"/>
        <v>160000</v>
      </c>
      <c r="E38" s="4">
        <v>312.5</v>
      </c>
      <c r="F38" s="4">
        <v>200</v>
      </c>
      <c r="G38" s="4">
        <f t="shared" si="2"/>
        <v>1343.75</v>
      </c>
      <c r="I38" s="37"/>
      <c r="J38" s="4">
        <f t="shared" si="0"/>
        <v>0</v>
      </c>
      <c r="K38" s="37">
        <f t="shared" si="1"/>
        <v>0.0083984375</v>
      </c>
      <c r="N38" s="4">
        <f t="shared" si="26"/>
        <v>160000</v>
      </c>
      <c r="O38" s="4">
        <f t="shared" si="23"/>
        <v>1343.75</v>
      </c>
      <c r="P38" s="4">
        <f t="shared" si="17"/>
        <v>320000</v>
      </c>
      <c r="Q38" s="4">
        <f t="shared" si="18"/>
        <v>1343.75</v>
      </c>
      <c r="R38" s="4">
        <f t="shared" si="24"/>
        <v>480000</v>
      </c>
      <c r="S38" s="4">
        <f t="shared" si="25"/>
        <v>1343.75</v>
      </c>
      <c r="T38" s="4">
        <f t="shared" si="19"/>
        <v>480000</v>
      </c>
      <c r="U38" s="76">
        <f t="shared" si="20"/>
        <v>0</v>
      </c>
      <c r="V38" s="76">
        <f t="shared" si="21"/>
        <v>640000</v>
      </c>
      <c r="W38" s="76">
        <f t="shared" si="22"/>
        <v>1343.75</v>
      </c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</row>
    <row r="39" spans="1:76" s="4" customFormat="1" ht="12.75">
      <c r="A39" s="4" t="s">
        <v>134</v>
      </c>
      <c r="B39" s="4" t="s">
        <v>136</v>
      </c>
      <c r="C39" s="4">
        <v>100000</v>
      </c>
      <c r="D39" s="4">
        <f t="shared" si="16"/>
        <v>160000</v>
      </c>
      <c r="E39" s="4">
        <v>468.75</v>
      </c>
      <c r="F39" s="4">
        <v>300</v>
      </c>
      <c r="G39" s="4">
        <f t="shared" si="2"/>
        <v>2015.625</v>
      </c>
      <c r="I39" s="37">
        <v>2</v>
      </c>
      <c r="J39" s="4">
        <f aca="true" t="shared" si="27" ref="J39:J69">I39*$J$1</f>
        <v>325.74124439999997</v>
      </c>
      <c r="K39" s="37">
        <f t="shared" si="1"/>
        <v>0.014633539027500002</v>
      </c>
      <c r="N39" s="4">
        <f t="shared" si="26"/>
        <v>160000</v>
      </c>
      <c r="O39" s="4">
        <f t="shared" si="23"/>
        <v>2341.3662444</v>
      </c>
      <c r="P39" s="4">
        <f t="shared" si="17"/>
        <v>320000</v>
      </c>
      <c r="Q39" s="4">
        <f t="shared" si="18"/>
        <v>2341.3662444</v>
      </c>
      <c r="R39" s="4">
        <f t="shared" si="24"/>
        <v>480000</v>
      </c>
      <c r="S39" s="4">
        <f t="shared" si="25"/>
        <v>2341.3662444</v>
      </c>
      <c r="T39" s="4">
        <f t="shared" si="19"/>
        <v>480000</v>
      </c>
      <c r="U39" s="76">
        <f t="shared" si="20"/>
        <v>0</v>
      </c>
      <c r="V39" s="76">
        <f t="shared" si="21"/>
        <v>640000</v>
      </c>
      <c r="W39" s="76">
        <f t="shared" si="22"/>
        <v>2341.3662444</v>
      </c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</row>
    <row r="40" spans="1:76" s="4" customFormat="1" ht="12.75">
      <c r="A40" s="4" t="s">
        <v>134</v>
      </c>
      <c r="B40" s="4" t="s">
        <v>138</v>
      </c>
      <c r="C40" s="4">
        <v>100000</v>
      </c>
      <c r="D40" s="4">
        <f t="shared" si="16"/>
        <v>160000</v>
      </c>
      <c r="E40" s="4">
        <v>312.5</v>
      </c>
      <c r="F40" s="4">
        <v>200</v>
      </c>
      <c r="G40" s="4">
        <f aca="true" t="shared" si="28" ref="G40:G69">E40*$U$1</f>
        <v>1343.75</v>
      </c>
      <c r="I40" s="37">
        <v>5</v>
      </c>
      <c r="J40" s="4">
        <f t="shared" si="27"/>
        <v>814.3531109999999</v>
      </c>
      <c r="K40" s="37">
        <f t="shared" si="1"/>
        <v>0.013488144443749999</v>
      </c>
      <c r="N40" s="4">
        <f t="shared" si="26"/>
        <v>160000</v>
      </c>
      <c r="O40" s="4">
        <f t="shared" si="23"/>
        <v>2158.103111</v>
      </c>
      <c r="P40" s="4">
        <f t="shared" si="17"/>
        <v>320000</v>
      </c>
      <c r="Q40" s="4">
        <f t="shared" si="18"/>
        <v>2158.103111</v>
      </c>
      <c r="R40" s="4">
        <f t="shared" si="24"/>
        <v>480000</v>
      </c>
      <c r="S40" s="4">
        <f t="shared" si="25"/>
        <v>2158.103111</v>
      </c>
      <c r="T40" s="4">
        <f t="shared" si="19"/>
        <v>480000</v>
      </c>
      <c r="U40" s="76">
        <f t="shared" si="20"/>
        <v>0</v>
      </c>
      <c r="V40" s="76">
        <f t="shared" si="21"/>
        <v>640000</v>
      </c>
      <c r="W40" s="76">
        <f t="shared" si="22"/>
        <v>2158.103111</v>
      </c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</row>
    <row r="41" spans="1:76" s="4" customFormat="1" ht="12.75">
      <c r="A41" s="4" t="s">
        <v>64</v>
      </c>
      <c r="B41" s="4" t="s">
        <v>66</v>
      </c>
      <c r="C41" s="4">
        <v>100000</v>
      </c>
      <c r="D41" s="4">
        <f t="shared" si="16"/>
        <v>160000</v>
      </c>
      <c r="E41" s="4">
        <v>234.375</v>
      </c>
      <c r="F41" s="4">
        <v>150</v>
      </c>
      <c r="G41" s="4">
        <f t="shared" si="28"/>
        <v>1007.8125</v>
      </c>
      <c r="I41" s="37">
        <v>4</v>
      </c>
      <c r="J41" s="4">
        <f t="shared" si="27"/>
        <v>651.4824887999999</v>
      </c>
      <c r="K41" s="37">
        <f t="shared" si="1"/>
        <v>0.010370593679999998</v>
      </c>
      <c r="N41" s="4">
        <f t="shared" si="26"/>
        <v>160000</v>
      </c>
      <c r="O41" s="4">
        <f t="shared" si="23"/>
        <v>1659.2949887999996</v>
      </c>
      <c r="P41" s="4">
        <f t="shared" si="17"/>
        <v>320000</v>
      </c>
      <c r="Q41" s="4">
        <f t="shared" si="18"/>
        <v>1659.2949887999996</v>
      </c>
      <c r="R41" s="4">
        <f t="shared" si="24"/>
        <v>480000</v>
      </c>
      <c r="S41" s="4">
        <f t="shared" si="25"/>
        <v>1659.2949887999996</v>
      </c>
      <c r="T41" s="4">
        <f t="shared" si="19"/>
        <v>480000</v>
      </c>
      <c r="U41" s="76">
        <f t="shared" si="20"/>
        <v>0</v>
      </c>
      <c r="V41" s="76">
        <f t="shared" si="21"/>
        <v>640000</v>
      </c>
      <c r="W41" s="76">
        <f t="shared" si="22"/>
        <v>1659.2949887999996</v>
      </c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</row>
    <row r="42" spans="1:76" s="4" customFormat="1" ht="12.75">
      <c r="A42" s="4" t="s">
        <v>64</v>
      </c>
      <c r="B42" s="4" t="s">
        <v>68</v>
      </c>
      <c r="C42" s="4">
        <v>100000</v>
      </c>
      <c r="D42" s="4">
        <f t="shared" si="16"/>
        <v>160000</v>
      </c>
      <c r="E42" s="4">
        <v>312.5</v>
      </c>
      <c r="F42" s="4">
        <v>200</v>
      </c>
      <c r="G42" s="4">
        <f t="shared" si="28"/>
        <v>1343.75</v>
      </c>
      <c r="I42" s="37">
        <v>2</v>
      </c>
      <c r="J42" s="4">
        <f t="shared" si="27"/>
        <v>325.74124439999997</v>
      </c>
      <c r="K42" s="37">
        <f t="shared" si="1"/>
        <v>0.010434320277499999</v>
      </c>
      <c r="N42" s="4">
        <f t="shared" si="26"/>
        <v>160000</v>
      </c>
      <c r="O42" s="4">
        <f t="shared" si="23"/>
        <v>1669.4912444</v>
      </c>
      <c r="P42" s="4">
        <f t="shared" si="17"/>
        <v>320000</v>
      </c>
      <c r="Q42" s="4">
        <f t="shared" si="18"/>
        <v>1669.4912444</v>
      </c>
      <c r="R42" s="4">
        <f t="shared" si="24"/>
        <v>480000</v>
      </c>
      <c r="S42" s="4">
        <f t="shared" si="25"/>
        <v>1669.4912444</v>
      </c>
      <c r="T42" s="4">
        <f t="shared" si="19"/>
        <v>480000</v>
      </c>
      <c r="U42" s="76">
        <f t="shared" si="20"/>
        <v>0</v>
      </c>
      <c r="V42" s="76">
        <f t="shared" si="21"/>
        <v>640000</v>
      </c>
      <c r="W42" s="76">
        <f t="shared" si="22"/>
        <v>1669.4912444</v>
      </c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</row>
    <row r="43" spans="1:76" s="4" customFormat="1" ht="12.75">
      <c r="A43" s="4" t="s">
        <v>64</v>
      </c>
      <c r="B43" s="4" t="s">
        <v>67</v>
      </c>
      <c r="C43" s="4">
        <v>60000</v>
      </c>
      <c r="D43" s="4">
        <v>200000</v>
      </c>
      <c r="E43" s="4">
        <v>234.375</v>
      </c>
      <c r="F43" s="4">
        <v>150</v>
      </c>
      <c r="G43" s="4">
        <f t="shared" si="28"/>
        <v>1007.8125</v>
      </c>
      <c r="I43" s="37">
        <v>1</v>
      </c>
      <c r="J43" s="4">
        <f t="shared" si="27"/>
        <v>162.87062219999999</v>
      </c>
      <c r="K43" s="37">
        <f t="shared" si="1"/>
        <v>0.005853415611</v>
      </c>
      <c r="N43" s="4">
        <f t="shared" si="26"/>
        <v>200000</v>
      </c>
      <c r="O43" s="4">
        <f t="shared" si="23"/>
        <v>1170.6831222</v>
      </c>
      <c r="P43" s="4">
        <f t="shared" si="17"/>
        <v>200000</v>
      </c>
      <c r="Q43" s="4">
        <f t="shared" si="18"/>
        <v>0</v>
      </c>
      <c r="R43" s="4">
        <f t="shared" si="24"/>
        <v>400000</v>
      </c>
      <c r="S43" s="4">
        <f t="shared" si="25"/>
        <v>1170.6831222</v>
      </c>
      <c r="T43" s="4">
        <f t="shared" si="19"/>
        <v>600000</v>
      </c>
      <c r="U43" s="76">
        <f t="shared" si="20"/>
        <v>1170.6831222</v>
      </c>
      <c r="V43" s="76">
        <f t="shared" si="21"/>
        <v>600000</v>
      </c>
      <c r="W43" s="76">
        <f t="shared" si="22"/>
        <v>0</v>
      </c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pans="1:76" s="4" customFormat="1" ht="12.75">
      <c r="A44" s="4" t="s">
        <v>94</v>
      </c>
      <c r="B44" s="4" t="s">
        <v>100</v>
      </c>
      <c r="C44" s="4">
        <v>150000</v>
      </c>
      <c r="D44" s="4">
        <f>C44*1.6</f>
        <v>240000</v>
      </c>
      <c r="E44" s="4">
        <v>1562.5</v>
      </c>
      <c r="F44" s="4">
        <v>1000</v>
      </c>
      <c r="G44" s="4">
        <f t="shared" si="28"/>
        <v>6718.75</v>
      </c>
      <c r="I44" s="37">
        <v>4</v>
      </c>
      <c r="J44" s="4">
        <f t="shared" si="27"/>
        <v>651.4824887999999</v>
      </c>
      <c r="K44" s="37">
        <f t="shared" si="1"/>
        <v>0.030709302036666667</v>
      </c>
      <c r="N44" s="4">
        <f t="shared" si="26"/>
        <v>240000</v>
      </c>
      <c r="O44" s="4">
        <f t="shared" si="23"/>
        <v>7370.2324888</v>
      </c>
      <c r="P44" s="4">
        <f t="shared" si="17"/>
        <v>240000</v>
      </c>
      <c r="Q44" s="4">
        <f t="shared" si="18"/>
        <v>0</v>
      </c>
      <c r="R44" s="4">
        <f t="shared" si="24"/>
        <v>480000</v>
      </c>
      <c r="S44" s="4">
        <f t="shared" si="25"/>
        <v>7370.2324888</v>
      </c>
      <c r="T44" s="4">
        <f t="shared" si="19"/>
        <v>480000</v>
      </c>
      <c r="U44" s="76">
        <f t="shared" si="20"/>
        <v>0</v>
      </c>
      <c r="V44" s="76">
        <f t="shared" si="21"/>
        <v>720000</v>
      </c>
      <c r="W44" s="76">
        <f t="shared" si="22"/>
        <v>7370.2324888</v>
      </c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</row>
    <row r="45" spans="1:76" s="4" customFormat="1" ht="12.75">
      <c r="A45" s="4" t="s">
        <v>141</v>
      </c>
      <c r="B45" s="4" t="s">
        <v>144</v>
      </c>
      <c r="C45" s="4">
        <v>150000</v>
      </c>
      <c r="D45" s="4">
        <f>C45*1.6</f>
        <v>240000</v>
      </c>
      <c r="E45" s="4">
        <v>312.5</v>
      </c>
      <c r="F45" s="4">
        <v>200</v>
      </c>
      <c r="G45" s="4">
        <f t="shared" si="28"/>
        <v>1343.75</v>
      </c>
      <c r="I45" s="37"/>
      <c r="J45" s="4">
        <f t="shared" si="27"/>
        <v>0</v>
      </c>
      <c r="K45" s="37">
        <v>0</v>
      </c>
      <c r="N45" s="4">
        <f t="shared" si="26"/>
        <v>240000</v>
      </c>
      <c r="O45" s="4">
        <f t="shared" si="23"/>
        <v>0</v>
      </c>
      <c r="P45" s="4">
        <f t="shared" si="17"/>
        <v>240000</v>
      </c>
      <c r="Q45" s="4">
        <f t="shared" si="18"/>
        <v>0</v>
      </c>
      <c r="R45" s="4">
        <f t="shared" si="24"/>
        <v>480000</v>
      </c>
      <c r="S45" s="4">
        <f t="shared" si="25"/>
        <v>0</v>
      </c>
      <c r="T45" s="4">
        <f t="shared" si="19"/>
        <v>480000</v>
      </c>
      <c r="U45" s="76">
        <f t="shared" si="20"/>
        <v>0</v>
      </c>
      <c r="V45" s="76">
        <f t="shared" si="21"/>
        <v>720000</v>
      </c>
      <c r="W45" s="76">
        <f t="shared" si="22"/>
        <v>0</v>
      </c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</row>
    <row r="46" spans="1:76" s="73" customFormat="1" ht="12.75">
      <c r="A46" s="73" t="s">
        <v>84</v>
      </c>
      <c r="B46" s="73" t="s">
        <v>90</v>
      </c>
      <c r="C46" s="73">
        <v>160000</v>
      </c>
      <c r="D46" s="73">
        <f>C46*1.6</f>
        <v>256000</v>
      </c>
      <c r="E46" s="73">
        <v>468.75</v>
      </c>
      <c r="F46" s="73">
        <v>300</v>
      </c>
      <c r="G46" s="73">
        <f t="shared" si="28"/>
        <v>2015.625</v>
      </c>
      <c r="I46" s="74">
        <v>2</v>
      </c>
      <c r="J46" s="73">
        <f t="shared" si="27"/>
        <v>325.74124439999997</v>
      </c>
      <c r="K46" s="74">
        <f aca="true" t="shared" si="29" ref="K46:K69">(((E46)*$U$1)+J46)/D46</f>
        <v>0.0091459618921875</v>
      </c>
      <c r="P46" s="73">
        <f>+D46</f>
        <v>256000</v>
      </c>
      <c r="Q46" s="73">
        <f>+K46*D46</f>
        <v>2341.3662444</v>
      </c>
      <c r="R46" s="73">
        <f>INT((+$R$3-P46)/D46)*D46+P46</f>
        <v>256000</v>
      </c>
      <c r="S46" s="73">
        <f>INT((+$R$3-P46)/D46)*K46*D46</f>
        <v>0</v>
      </c>
      <c r="T46" s="73">
        <f>INT((+$T$3-R46)/D45)*D46+R46</f>
        <v>512000</v>
      </c>
      <c r="U46" s="73">
        <f>INT((+$T$3-R46)/D45)*K46*D46</f>
        <v>2341.3662444</v>
      </c>
      <c r="V46" s="73">
        <f>INT((+$V$3-T46)/D46)*D46+T46</f>
        <v>512000</v>
      </c>
      <c r="W46" s="73">
        <f>INT((+$V$3-T46)/D46)*D46*K46</f>
        <v>0</v>
      </c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</row>
    <row r="47" spans="1:76" s="4" customFormat="1" ht="12.75">
      <c r="A47" s="4" t="s">
        <v>141</v>
      </c>
      <c r="B47" s="4" t="s">
        <v>142</v>
      </c>
      <c r="C47" s="4">
        <v>160000</v>
      </c>
      <c r="D47" s="4">
        <f>C47*1.6</f>
        <v>256000</v>
      </c>
      <c r="E47" s="4">
        <v>1093.75</v>
      </c>
      <c r="F47" s="4">
        <v>700</v>
      </c>
      <c r="G47" s="4">
        <f t="shared" si="28"/>
        <v>4703.125</v>
      </c>
      <c r="I47" s="37">
        <v>2</v>
      </c>
      <c r="J47" s="4">
        <f t="shared" si="27"/>
        <v>325.74124439999997</v>
      </c>
      <c r="K47" s="37">
        <f t="shared" si="29"/>
        <v>0.019644008767187502</v>
      </c>
      <c r="P47" s="4">
        <f>+D47</f>
        <v>256000</v>
      </c>
      <c r="Q47" s="4">
        <f>+K47*D47</f>
        <v>5028.8662444</v>
      </c>
      <c r="R47" s="76">
        <f aca="true" t="shared" si="30" ref="R47:R60">INT((+$R$3-P47)/D47)*D47+P47</f>
        <v>256000</v>
      </c>
      <c r="S47" s="76">
        <f aca="true" t="shared" si="31" ref="S47:S60">INT((+$R$3-P47)/D47)*K47*D47</f>
        <v>0</v>
      </c>
      <c r="T47" s="4">
        <f aca="true" t="shared" si="32" ref="T47:T60">INT((+$T$3-R47)/D46)*D47+R47</f>
        <v>512000</v>
      </c>
      <c r="U47" s="76">
        <f aca="true" t="shared" si="33" ref="U47:U60">INT((+$T$3-R47)/D46)*K47*D47</f>
        <v>5028.8662444</v>
      </c>
      <c r="V47" s="76">
        <f t="shared" si="21"/>
        <v>512000</v>
      </c>
      <c r="W47" s="76">
        <f aca="true" t="shared" si="34" ref="W47:W60">INT((+$V$3-T47)/D47)*D47*K47</f>
        <v>0</v>
      </c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</row>
    <row r="48" spans="1:76" s="4" customFormat="1" ht="12.75">
      <c r="A48" s="4" t="s">
        <v>80</v>
      </c>
      <c r="B48" s="4" t="s">
        <v>81</v>
      </c>
      <c r="C48" s="4">
        <v>160000</v>
      </c>
      <c r="D48" s="4">
        <f>C48*1.6</f>
        <v>256000</v>
      </c>
      <c r="E48" s="4">
        <v>1562.5</v>
      </c>
      <c r="F48" s="4">
        <v>1000</v>
      </c>
      <c r="G48" s="4">
        <f t="shared" si="28"/>
        <v>6718.75</v>
      </c>
      <c r="I48" s="37">
        <v>5</v>
      </c>
      <c r="J48" s="4">
        <f t="shared" si="27"/>
        <v>814.3531109999999</v>
      </c>
      <c r="K48" s="37">
        <f t="shared" si="29"/>
        <v>0.02942618402734375</v>
      </c>
      <c r="P48" s="4">
        <f aca="true" t="shared" si="35" ref="P48:P60">+D48</f>
        <v>256000</v>
      </c>
      <c r="Q48" s="4">
        <f aca="true" t="shared" si="36" ref="Q48:Q60">+K48*D48</f>
        <v>7533.103111</v>
      </c>
      <c r="R48" s="76">
        <f t="shared" si="30"/>
        <v>256000</v>
      </c>
      <c r="S48" s="76">
        <f t="shared" si="31"/>
        <v>0</v>
      </c>
      <c r="T48" s="4">
        <f t="shared" si="32"/>
        <v>512000</v>
      </c>
      <c r="U48" s="76">
        <f t="shared" si="33"/>
        <v>7533.103111</v>
      </c>
      <c r="V48" s="76">
        <f t="shared" si="21"/>
        <v>512000</v>
      </c>
      <c r="W48" s="76">
        <f t="shared" si="34"/>
        <v>0</v>
      </c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</row>
    <row r="49" spans="1:76" s="4" customFormat="1" ht="12.75">
      <c r="A49" s="4" t="s">
        <v>84</v>
      </c>
      <c r="B49" s="4" t="s">
        <v>86</v>
      </c>
      <c r="C49" s="4">
        <v>120000</v>
      </c>
      <c r="D49" s="4">
        <v>300000</v>
      </c>
      <c r="E49" s="4">
        <v>156.25</v>
      </c>
      <c r="F49" s="4">
        <v>100</v>
      </c>
      <c r="G49" s="4">
        <f t="shared" si="28"/>
        <v>671.875</v>
      </c>
      <c r="I49" s="37">
        <v>6</v>
      </c>
      <c r="J49" s="4">
        <f t="shared" si="27"/>
        <v>977.2237332</v>
      </c>
      <c r="K49" s="37">
        <f t="shared" si="29"/>
        <v>0.005496995777333333</v>
      </c>
      <c r="P49" s="4">
        <f t="shared" si="35"/>
        <v>300000</v>
      </c>
      <c r="Q49" s="4">
        <f t="shared" si="36"/>
        <v>1649.0987332</v>
      </c>
      <c r="R49" s="76">
        <f t="shared" si="30"/>
        <v>300000</v>
      </c>
      <c r="S49" s="76">
        <f t="shared" si="31"/>
        <v>0</v>
      </c>
      <c r="T49" s="4">
        <f t="shared" si="32"/>
        <v>600000</v>
      </c>
      <c r="U49" s="76">
        <f t="shared" si="33"/>
        <v>1649.0987332</v>
      </c>
      <c r="V49" s="76">
        <f t="shared" si="21"/>
        <v>600000</v>
      </c>
      <c r="W49" s="76">
        <f t="shared" si="34"/>
        <v>0</v>
      </c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</row>
    <row r="50" spans="1:76" s="4" customFormat="1" ht="12.75">
      <c r="A50" s="4" t="s">
        <v>84</v>
      </c>
      <c r="B50" s="4" t="s">
        <v>89</v>
      </c>
      <c r="C50" s="4">
        <v>200000</v>
      </c>
      <c r="D50" s="4">
        <f aca="true" t="shared" si="37" ref="D50:D55">C50*1.6</f>
        <v>320000</v>
      </c>
      <c r="E50" s="4">
        <v>1562.5</v>
      </c>
      <c r="F50" s="4">
        <v>1000</v>
      </c>
      <c r="G50" s="4">
        <f t="shared" si="28"/>
        <v>6718.75</v>
      </c>
      <c r="I50" s="37">
        <v>14</v>
      </c>
      <c r="J50" s="4">
        <f t="shared" si="27"/>
        <v>2280.1887107999996</v>
      </c>
      <c r="K50" s="37">
        <f t="shared" si="29"/>
        <v>0.02812168347125</v>
      </c>
      <c r="P50" s="4">
        <f t="shared" si="35"/>
        <v>320000</v>
      </c>
      <c r="Q50" s="4">
        <f t="shared" si="36"/>
        <v>8998.9387108</v>
      </c>
      <c r="R50" s="76">
        <f t="shared" si="30"/>
        <v>320000</v>
      </c>
      <c r="S50" s="76">
        <f t="shared" si="31"/>
        <v>0</v>
      </c>
      <c r="T50" s="4">
        <f t="shared" si="32"/>
        <v>320000</v>
      </c>
      <c r="U50" s="76">
        <f t="shared" si="33"/>
        <v>0</v>
      </c>
      <c r="V50" s="76">
        <f t="shared" si="21"/>
        <v>640000</v>
      </c>
      <c r="W50" s="76">
        <f t="shared" si="34"/>
        <v>8998.9387108</v>
      </c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</row>
    <row r="51" spans="1:76" s="4" customFormat="1" ht="12.75">
      <c r="A51" s="4" t="s">
        <v>94</v>
      </c>
      <c r="B51" s="4" t="s">
        <v>95</v>
      </c>
      <c r="C51" s="4">
        <v>200000</v>
      </c>
      <c r="D51" s="4">
        <f t="shared" si="37"/>
        <v>320000</v>
      </c>
      <c r="E51" s="4">
        <v>468.75</v>
      </c>
      <c r="F51" s="4">
        <v>300</v>
      </c>
      <c r="G51" s="4">
        <f t="shared" si="28"/>
        <v>2015.625</v>
      </c>
      <c r="I51" s="37">
        <v>3</v>
      </c>
      <c r="J51" s="4">
        <f t="shared" si="27"/>
        <v>488.6118666</v>
      </c>
      <c r="K51" s="37">
        <f t="shared" si="29"/>
        <v>0.007825740208125001</v>
      </c>
      <c r="P51" s="4">
        <f t="shared" si="35"/>
        <v>320000</v>
      </c>
      <c r="Q51" s="4">
        <f t="shared" si="36"/>
        <v>2504.2368666</v>
      </c>
      <c r="R51" s="76">
        <f t="shared" si="30"/>
        <v>320000</v>
      </c>
      <c r="S51" s="76">
        <f t="shared" si="31"/>
        <v>0</v>
      </c>
      <c r="T51" s="4">
        <f t="shared" si="32"/>
        <v>320000</v>
      </c>
      <c r="U51" s="76">
        <f t="shared" si="33"/>
        <v>0</v>
      </c>
      <c r="V51" s="76">
        <f t="shared" si="21"/>
        <v>640000</v>
      </c>
      <c r="W51" s="76">
        <f t="shared" si="34"/>
        <v>2504.2368666</v>
      </c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</row>
    <row r="52" spans="1:76" s="4" customFormat="1" ht="12.75">
      <c r="A52" s="4" t="s">
        <v>94</v>
      </c>
      <c r="B52" s="4" t="s">
        <v>97</v>
      </c>
      <c r="C52" s="4">
        <v>200000</v>
      </c>
      <c r="D52" s="4">
        <f t="shared" si="37"/>
        <v>320000</v>
      </c>
      <c r="E52" s="4">
        <v>781.25</v>
      </c>
      <c r="F52" s="4">
        <v>500</v>
      </c>
      <c r="G52" s="4">
        <f t="shared" si="28"/>
        <v>3359.375</v>
      </c>
      <c r="I52" s="37">
        <v>6</v>
      </c>
      <c r="J52" s="4">
        <f t="shared" si="27"/>
        <v>977.2237332</v>
      </c>
      <c r="K52" s="37">
        <f t="shared" si="29"/>
        <v>0.013551871041250002</v>
      </c>
      <c r="P52" s="4">
        <f t="shared" si="35"/>
        <v>320000</v>
      </c>
      <c r="Q52" s="4">
        <f t="shared" si="36"/>
        <v>4336.5987332</v>
      </c>
      <c r="R52" s="76">
        <f t="shared" si="30"/>
        <v>320000</v>
      </c>
      <c r="S52" s="76">
        <f t="shared" si="31"/>
        <v>0</v>
      </c>
      <c r="T52" s="4">
        <f t="shared" si="32"/>
        <v>320000</v>
      </c>
      <c r="U52" s="76">
        <f t="shared" si="33"/>
        <v>0</v>
      </c>
      <c r="V52" s="76">
        <f t="shared" si="21"/>
        <v>640000</v>
      </c>
      <c r="W52" s="76">
        <f t="shared" si="34"/>
        <v>4336.5987332</v>
      </c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</row>
    <row r="53" spans="1:76" s="4" customFormat="1" ht="12.75">
      <c r="A53" s="4" t="s">
        <v>94</v>
      </c>
      <c r="B53" s="4" t="s">
        <v>99</v>
      </c>
      <c r="C53" s="4">
        <v>200000</v>
      </c>
      <c r="D53" s="4">
        <f t="shared" si="37"/>
        <v>320000</v>
      </c>
      <c r="E53" s="4">
        <v>1562.5</v>
      </c>
      <c r="F53" s="4">
        <v>1000</v>
      </c>
      <c r="G53" s="4">
        <f t="shared" si="28"/>
        <v>6718.75</v>
      </c>
      <c r="I53" s="37">
        <v>1</v>
      </c>
      <c r="J53" s="4">
        <f t="shared" si="27"/>
        <v>162.87062219999999</v>
      </c>
      <c r="K53" s="37">
        <f t="shared" si="29"/>
        <v>0.021505064444375</v>
      </c>
      <c r="P53" s="4">
        <f t="shared" si="35"/>
        <v>320000</v>
      </c>
      <c r="Q53" s="4">
        <f t="shared" si="36"/>
        <v>6881.6206222</v>
      </c>
      <c r="R53" s="76">
        <f t="shared" si="30"/>
        <v>320000</v>
      </c>
      <c r="S53" s="76">
        <f t="shared" si="31"/>
        <v>0</v>
      </c>
      <c r="T53" s="4">
        <f t="shared" si="32"/>
        <v>320000</v>
      </c>
      <c r="U53" s="76">
        <f t="shared" si="33"/>
        <v>0</v>
      </c>
      <c r="V53" s="76">
        <f t="shared" si="21"/>
        <v>640000</v>
      </c>
      <c r="W53" s="76">
        <f t="shared" si="34"/>
        <v>6881.6206222</v>
      </c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</row>
    <row r="54" spans="1:76" s="4" customFormat="1" ht="12.75">
      <c r="A54" s="4" t="s">
        <v>94</v>
      </c>
      <c r="B54" s="4" t="s">
        <v>104</v>
      </c>
      <c r="C54" s="4">
        <v>200000</v>
      </c>
      <c r="D54" s="4">
        <f t="shared" si="37"/>
        <v>320000</v>
      </c>
      <c r="E54" s="4">
        <v>1562.5</v>
      </c>
      <c r="F54" s="4">
        <v>1000</v>
      </c>
      <c r="G54" s="4">
        <f t="shared" si="28"/>
        <v>6718.75</v>
      </c>
      <c r="I54" s="37">
        <v>3</v>
      </c>
      <c r="J54" s="4">
        <f t="shared" si="27"/>
        <v>488.6118666</v>
      </c>
      <c r="K54" s="37">
        <f t="shared" si="29"/>
        <v>0.022523005833125</v>
      </c>
      <c r="P54" s="4">
        <f t="shared" si="35"/>
        <v>320000</v>
      </c>
      <c r="Q54" s="4">
        <f t="shared" si="36"/>
        <v>7207.3618666</v>
      </c>
      <c r="R54" s="76">
        <f t="shared" si="30"/>
        <v>320000</v>
      </c>
      <c r="S54" s="76">
        <f t="shared" si="31"/>
        <v>0</v>
      </c>
      <c r="T54" s="4">
        <f t="shared" si="32"/>
        <v>320000</v>
      </c>
      <c r="U54" s="76">
        <f t="shared" si="33"/>
        <v>0</v>
      </c>
      <c r="V54" s="76">
        <f t="shared" si="21"/>
        <v>640000</v>
      </c>
      <c r="W54" s="76">
        <f t="shared" si="34"/>
        <v>7207.3618666</v>
      </c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</row>
    <row r="55" spans="1:76" s="4" customFormat="1" ht="12.75">
      <c r="A55" s="4" t="s">
        <v>134</v>
      </c>
      <c r="B55" s="4" t="s">
        <v>137</v>
      </c>
      <c r="C55" s="4">
        <v>200000</v>
      </c>
      <c r="D55" s="4">
        <f t="shared" si="37"/>
        <v>320000</v>
      </c>
      <c r="E55" s="4">
        <v>1562.5</v>
      </c>
      <c r="F55" s="4">
        <v>1000</v>
      </c>
      <c r="G55" s="4">
        <f t="shared" si="28"/>
        <v>6718.75</v>
      </c>
      <c r="I55" s="37">
        <v>6</v>
      </c>
      <c r="J55" s="4">
        <f t="shared" si="27"/>
        <v>977.2237332</v>
      </c>
      <c r="K55" s="37">
        <f t="shared" si="29"/>
        <v>0.02404991791625</v>
      </c>
      <c r="P55" s="4">
        <f t="shared" si="35"/>
        <v>320000</v>
      </c>
      <c r="Q55" s="4">
        <f t="shared" si="36"/>
        <v>7695.9737332</v>
      </c>
      <c r="R55" s="76">
        <f t="shared" si="30"/>
        <v>320000</v>
      </c>
      <c r="S55" s="76">
        <f t="shared" si="31"/>
        <v>0</v>
      </c>
      <c r="T55" s="4">
        <f t="shared" si="32"/>
        <v>320000</v>
      </c>
      <c r="U55" s="76">
        <f t="shared" si="33"/>
        <v>0</v>
      </c>
      <c r="V55" s="76">
        <f t="shared" si="21"/>
        <v>640000</v>
      </c>
      <c r="W55" s="76">
        <f t="shared" si="34"/>
        <v>7695.9737332</v>
      </c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</row>
    <row r="56" spans="1:76" s="4" customFormat="1" ht="12.75">
      <c r="A56" s="4" t="s">
        <v>84</v>
      </c>
      <c r="B56" s="4" t="s">
        <v>87</v>
      </c>
      <c r="C56" s="4">
        <v>120000</v>
      </c>
      <c r="D56" s="4">
        <v>350000</v>
      </c>
      <c r="E56" s="4">
        <v>781.25</v>
      </c>
      <c r="F56" s="4">
        <v>500</v>
      </c>
      <c r="G56" s="4">
        <f t="shared" si="28"/>
        <v>3359.375</v>
      </c>
      <c r="I56" s="37">
        <v>8</v>
      </c>
      <c r="J56" s="4">
        <f t="shared" si="27"/>
        <v>1302.9649775999999</v>
      </c>
      <c r="K56" s="37">
        <f t="shared" si="29"/>
        <v>0.013320971364571428</v>
      </c>
      <c r="P56" s="4">
        <f t="shared" si="35"/>
        <v>350000</v>
      </c>
      <c r="Q56" s="4">
        <f t="shared" si="36"/>
        <v>4662.3399776</v>
      </c>
      <c r="R56" s="76">
        <f t="shared" si="30"/>
        <v>350000</v>
      </c>
      <c r="S56" s="76">
        <f t="shared" si="31"/>
        <v>0</v>
      </c>
      <c r="T56" s="4">
        <f t="shared" si="32"/>
        <v>350000</v>
      </c>
      <c r="U56" s="76">
        <f t="shared" si="33"/>
        <v>0</v>
      </c>
      <c r="V56" s="76">
        <f t="shared" si="21"/>
        <v>700000</v>
      </c>
      <c r="W56" s="76">
        <f t="shared" si="34"/>
        <v>4662.3399776</v>
      </c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</row>
    <row r="57" spans="1:76" s="4" customFormat="1" ht="12.75">
      <c r="A57" s="4" t="s">
        <v>64</v>
      </c>
      <c r="B57" s="4" t="s">
        <v>70</v>
      </c>
      <c r="C57" s="4">
        <v>160000</v>
      </c>
      <c r="D57" s="4">
        <v>350000</v>
      </c>
      <c r="E57" s="4">
        <v>468.75</v>
      </c>
      <c r="F57" s="4">
        <v>300</v>
      </c>
      <c r="G57" s="4">
        <f t="shared" si="28"/>
        <v>2015.625</v>
      </c>
      <c r="I57" s="37">
        <v>1.5</v>
      </c>
      <c r="J57" s="4">
        <f t="shared" si="27"/>
        <v>244.3059333</v>
      </c>
      <c r="K57" s="37">
        <f t="shared" si="29"/>
        <v>0.006456945523714286</v>
      </c>
      <c r="P57" s="4">
        <f t="shared" si="35"/>
        <v>350000</v>
      </c>
      <c r="Q57" s="4">
        <f t="shared" si="36"/>
        <v>2259.9309333</v>
      </c>
      <c r="R57" s="76">
        <f t="shared" si="30"/>
        <v>350000</v>
      </c>
      <c r="S57" s="76">
        <f t="shared" si="31"/>
        <v>0</v>
      </c>
      <c r="T57" s="4">
        <f t="shared" si="32"/>
        <v>350000</v>
      </c>
      <c r="U57" s="76">
        <f t="shared" si="33"/>
        <v>0</v>
      </c>
      <c r="V57" s="76">
        <f t="shared" si="21"/>
        <v>700000</v>
      </c>
      <c r="W57" s="76">
        <f t="shared" si="34"/>
        <v>2259.9309333</v>
      </c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</row>
    <row r="58" spans="1:76" s="4" customFormat="1" ht="12.75">
      <c r="A58" s="4" t="s">
        <v>73</v>
      </c>
      <c r="B58" s="4" t="s">
        <v>75</v>
      </c>
      <c r="C58" s="4">
        <v>80000</v>
      </c>
      <c r="D58" s="4">
        <v>360000</v>
      </c>
      <c r="E58" s="4">
        <v>312.5</v>
      </c>
      <c r="F58" s="4">
        <v>200</v>
      </c>
      <c r="G58" s="4">
        <f t="shared" si="28"/>
        <v>1343.75</v>
      </c>
      <c r="I58" s="37">
        <v>11.5</v>
      </c>
      <c r="J58" s="4">
        <f t="shared" si="27"/>
        <v>1873.0121553</v>
      </c>
      <c r="K58" s="37">
        <f t="shared" si="29"/>
        <v>0.00893545043138889</v>
      </c>
      <c r="P58" s="4">
        <f t="shared" si="35"/>
        <v>360000</v>
      </c>
      <c r="Q58" s="4">
        <f t="shared" si="36"/>
        <v>3216.7621553</v>
      </c>
      <c r="R58" s="76">
        <f t="shared" si="30"/>
        <v>360000</v>
      </c>
      <c r="S58" s="76">
        <f t="shared" si="31"/>
        <v>0</v>
      </c>
      <c r="T58" s="4">
        <f t="shared" si="32"/>
        <v>360000</v>
      </c>
      <c r="U58" s="76">
        <f t="shared" si="33"/>
        <v>0</v>
      </c>
      <c r="V58" s="76">
        <f t="shared" si="21"/>
        <v>720000</v>
      </c>
      <c r="W58" s="76">
        <f t="shared" si="34"/>
        <v>3216.7621553</v>
      </c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</row>
    <row r="59" spans="1:76" s="4" customFormat="1" ht="12.75">
      <c r="A59" s="4" t="s">
        <v>73</v>
      </c>
      <c r="B59" s="4" t="s">
        <v>77</v>
      </c>
      <c r="C59" s="4">
        <v>100000</v>
      </c>
      <c r="D59" s="4">
        <v>360000</v>
      </c>
      <c r="E59" s="4">
        <v>312.5</v>
      </c>
      <c r="F59" s="4">
        <v>200</v>
      </c>
      <c r="G59" s="4">
        <f t="shared" si="28"/>
        <v>1343.75</v>
      </c>
      <c r="I59" s="37">
        <v>1</v>
      </c>
      <c r="J59" s="4">
        <f t="shared" si="27"/>
        <v>162.87062219999999</v>
      </c>
      <c r="K59" s="37">
        <f t="shared" si="29"/>
        <v>0.004185057283888889</v>
      </c>
      <c r="P59" s="4">
        <f t="shared" si="35"/>
        <v>360000</v>
      </c>
      <c r="Q59" s="4">
        <f t="shared" si="36"/>
        <v>1506.6206222</v>
      </c>
      <c r="R59" s="76">
        <f t="shared" si="30"/>
        <v>360000</v>
      </c>
      <c r="S59" s="76">
        <f t="shared" si="31"/>
        <v>0</v>
      </c>
      <c r="T59" s="4">
        <f t="shared" si="32"/>
        <v>360000</v>
      </c>
      <c r="U59" s="76">
        <f t="shared" si="33"/>
        <v>0</v>
      </c>
      <c r="V59" s="76">
        <f t="shared" si="21"/>
        <v>720000</v>
      </c>
      <c r="W59" s="76">
        <f t="shared" si="34"/>
        <v>1506.6206222</v>
      </c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</row>
    <row r="60" spans="1:76" s="4" customFormat="1" ht="12.75">
      <c r="A60" s="4" t="s">
        <v>94</v>
      </c>
      <c r="B60" s="4" t="s">
        <v>103</v>
      </c>
      <c r="C60" s="4">
        <v>100000</v>
      </c>
      <c r="D60" s="4">
        <v>360000</v>
      </c>
      <c r="E60" s="4">
        <v>468.75</v>
      </c>
      <c r="F60" s="4">
        <v>300</v>
      </c>
      <c r="G60" s="4">
        <f t="shared" si="28"/>
        <v>2015.625</v>
      </c>
      <c r="I60" s="37">
        <v>1</v>
      </c>
      <c r="J60" s="4">
        <f t="shared" si="27"/>
        <v>162.87062219999999</v>
      </c>
      <c r="K60" s="37">
        <f t="shared" si="29"/>
        <v>0.0060513767283333336</v>
      </c>
      <c r="P60" s="4">
        <f t="shared" si="35"/>
        <v>360000</v>
      </c>
      <c r="Q60" s="4">
        <f t="shared" si="36"/>
        <v>2178.4956222</v>
      </c>
      <c r="R60" s="76">
        <f t="shared" si="30"/>
        <v>360000</v>
      </c>
      <c r="S60" s="76">
        <f t="shared" si="31"/>
        <v>0</v>
      </c>
      <c r="T60" s="4">
        <f t="shared" si="32"/>
        <v>360000</v>
      </c>
      <c r="U60" s="76">
        <f t="shared" si="33"/>
        <v>0</v>
      </c>
      <c r="V60" s="76">
        <f t="shared" si="21"/>
        <v>720000</v>
      </c>
      <c r="W60" s="76">
        <f t="shared" si="34"/>
        <v>2178.4956222</v>
      </c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</row>
    <row r="61" spans="1:76" s="73" customFormat="1" ht="12.75">
      <c r="A61" s="73" t="s">
        <v>84</v>
      </c>
      <c r="B61" s="73" t="s">
        <v>88</v>
      </c>
      <c r="C61" s="73">
        <v>250000</v>
      </c>
      <c r="D61" s="73">
        <f>C61*1.6</f>
        <v>400000</v>
      </c>
      <c r="E61" s="73">
        <v>1562.5</v>
      </c>
      <c r="F61" s="73">
        <v>1000</v>
      </c>
      <c r="G61" s="73">
        <f t="shared" si="28"/>
        <v>6718.75</v>
      </c>
      <c r="I61" s="74">
        <v>25</v>
      </c>
      <c r="J61" s="73">
        <f t="shared" si="27"/>
        <v>4071.7655549999995</v>
      </c>
      <c r="K61" s="74">
        <f t="shared" si="29"/>
        <v>0.026976288887499998</v>
      </c>
      <c r="R61" s="73">
        <f>+D61</f>
        <v>400000</v>
      </c>
      <c r="S61" s="73">
        <f>+K61*D61</f>
        <v>10790.515555</v>
      </c>
      <c r="T61" s="73">
        <f>INT((+$T$3-D61)/D61)*D61+R61</f>
        <v>400000</v>
      </c>
      <c r="U61" s="73">
        <f>INT((+$T$3-D61)/D61)*D61*K61</f>
        <v>0</v>
      </c>
      <c r="V61" s="73">
        <f>INT((+$V$3-T61)/D61)*D61+T61</f>
        <v>400000</v>
      </c>
      <c r="W61" s="73">
        <f>INT((+$V$3-T61)/D61)*D61*K61</f>
        <v>0</v>
      </c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</row>
    <row r="62" spans="1:76" s="4" customFormat="1" ht="12.75">
      <c r="A62" s="4" t="s">
        <v>64</v>
      </c>
      <c r="B62" s="4" t="s">
        <v>65</v>
      </c>
      <c r="C62" s="4">
        <v>200000</v>
      </c>
      <c r="D62" s="4">
        <v>400000</v>
      </c>
      <c r="E62" s="4">
        <v>546.875</v>
      </c>
      <c r="F62" s="4">
        <v>350</v>
      </c>
      <c r="G62" s="4">
        <f t="shared" si="28"/>
        <v>2351.5625</v>
      </c>
      <c r="I62" s="37">
        <v>4.5</v>
      </c>
      <c r="J62" s="4">
        <f t="shared" si="27"/>
        <v>732.9177999</v>
      </c>
      <c r="K62" s="37">
        <f t="shared" si="29"/>
        <v>0.00771120074975</v>
      </c>
      <c r="R62" s="4">
        <f>+D62</f>
        <v>400000</v>
      </c>
      <c r="S62" s="4">
        <f>+K62*D62</f>
        <v>3084.4802999</v>
      </c>
      <c r="T62" s="76">
        <f>INT((+$T$3-D62)/D62)*D62+R62</f>
        <v>400000</v>
      </c>
      <c r="U62" s="76">
        <f>INT((+$T$3-D62)/D62)*D62*K62</f>
        <v>0</v>
      </c>
      <c r="V62" s="76">
        <f>INT((+$V$3-T62)/D62)*D62+T62</f>
        <v>400000</v>
      </c>
      <c r="W62" s="76">
        <f>INT((+$V$3-T62)/D62)*D62*K62</f>
        <v>0</v>
      </c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</row>
    <row r="63" spans="1:76" s="4" customFormat="1" ht="12.75">
      <c r="A63" s="4" t="s">
        <v>94</v>
      </c>
      <c r="B63" s="4" t="s">
        <v>101</v>
      </c>
      <c r="C63" s="4">
        <v>200000</v>
      </c>
      <c r="D63" s="4">
        <v>420000</v>
      </c>
      <c r="E63" s="4">
        <v>234.375</v>
      </c>
      <c r="F63" s="4">
        <v>150</v>
      </c>
      <c r="G63" s="4">
        <f t="shared" si="28"/>
        <v>1007.8125</v>
      </c>
      <c r="I63" s="37">
        <v>3</v>
      </c>
      <c r="J63" s="4">
        <f t="shared" si="27"/>
        <v>488.6118666</v>
      </c>
      <c r="K63" s="37">
        <f t="shared" si="29"/>
        <v>0.0035629151585714284</v>
      </c>
      <c r="R63" s="4">
        <f>+D63</f>
        <v>420000</v>
      </c>
      <c r="S63" s="4">
        <f>+K63*D63</f>
        <v>1496.4243666</v>
      </c>
      <c r="T63" s="76">
        <f>INT((+$T$3-D63)/D63)*D63+R63</f>
        <v>420000</v>
      </c>
      <c r="U63" s="76">
        <f>INT((+$T$3-D63)/D63)*D63*K63</f>
        <v>0</v>
      </c>
      <c r="V63" s="76">
        <f>INT((+$V$3-T63)/D63)*D63+T63</f>
        <v>420000</v>
      </c>
      <c r="W63" s="76">
        <f>INT((+$V$3-T63)/D63)*D63*K63</f>
        <v>0</v>
      </c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</row>
    <row r="64" spans="1:76" s="73" customFormat="1" ht="12.75">
      <c r="A64" s="73" t="s">
        <v>84</v>
      </c>
      <c r="B64" s="73" t="s">
        <v>85</v>
      </c>
      <c r="C64" s="73">
        <v>200000</v>
      </c>
      <c r="D64" s="73">
        <v>600000</v>
      </c>
      <c r="E64" s="73">
        <v>1171.875</v>
      </c>
      <c r="F64" s="73">
        <v>750</v>
      </c>
      <c r="G64" s="73">
        <f t="shared" si="28"/>
        <v>5039.0625</v>
      </c>
      <c r="I64" s="74">
        <v>7</v>
      </c>
      <c r="J64" s="73">
        <f t="shared" si="27"/>
        <v>1140.0943553999998</v>
      </c>
      <c r="K64" s="74">
        <f t="shared" si="29"/>
        <v>0.010298594759</v>
      </c>
      <c r="T64" s="73">
        <f>+D64</f>
        <v>600000</v>
      </c>
      <c r="U64" s="73">
        <f>+K64*D64</f>
        <v>6179.1568554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</row>
    <row r="65" spans="1:76" s="4" customFormat="1" ht="12.75">
      <c r="A65" s="4" t="s">
        <v>84</v>
      </c>
      <c r="B65" s="4" t="s">
        <v>91</v>
      </c>
      <c r="C65" s="4">
        <v>150000</v>
      </c>
      <c r="D65" s="4">
        <v>600000</v>
      </c>
      <c r="E65" s="4">
        <v>312.5</v>
      </c>
      <c r="F65" s="4">
        <v>200</v>
      </c>
      <c r="G65" s="4">
        <f t="shared" si="28"/>
        <v>1343.75</v>
      </c>
      <c r="I65" s="37">
        <v>2</v>
      </c>
      <c r="J65" s="4">
        <f t="shared" si="27"/>
        <v>325.74124439999997</v>
      </c>
      <c r="K65" s="37">
        <f t="shared" si="29"/>
        <v>0.002782485407333333</v>
      </c>
      <c r="T65" s="4">
        <f>+D65</f>
        <v>600000</v>
      </c>
      <c r="U65" s="4">
        <f>+K65*D65</f>
        <v>1669.4912444</v>
      </c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</row>
    <row r="66" spans="1:76" s="4" customFormat="1" ht="12.75">
      <c r="A66" s="4" t="s">
        <v>84</v>
      </c>
      <c r="B66" s="4" t="s">
        <v>92</v>
      </c>
      <c r="C66" s="4">
        <v>250000</v>
      </c>
      <c r="D66" s="4">
        <v>600000</v>
      </c>
      <c r="E66" s="4">
        <v>937.5</v>
      </c>
      <c r="F66" s="4">
        <v>600</v>
      </c>
      <c r="G66" s="4">
        <f t="shared" si="28"/>
        <v>4031.25</v>
      </c>
      <c r="I66" s="37">
        <v>6</v>
      </c>
      <c r="J66" s="4">
        <f t="shared" si="27"/>
        <v>977.2237332</v>
      </c>
      <c r="K66" s="37">
        <f t="shared" si="29"/>
        <v>0.008347456222000001</v>
      </c>
      <c r="T66" s="4">
        <f>+D66</f>
        <v>600000</v>
      </c>
      <c r="U66" s="4">
        <f>+K66*D66</f>
        <v>5008.4737332</v>
      </c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</row>
    <row r="67" spans="1:76" s="4" customFormat="1" ht="12.75">
      <c r="A67" s="4" t="s">
        <v>94</v>
      </c>
      <c r="B67" s="4" t="s">
        <v>102</v>
      </c>
      <c r="C67" s="4">
        <v>300000</v>
      </c>
      <c r="D67" s="4">
        <v>600000</v>
      </c>
      <c r="E67" s="4">
        <v>625</v>
      </c>
      <c r="F67" s="4">
        <v>400</v>
      </c>
      <c r="G67" s="4">
        <f t="shared" si="28"/>
        <v>2687.5</v>
      </c>
      <c r="I67" s="37">
        <v>4</v>
      </c>
      <c r="J67" s="4">
        <f t="shared" si="27"/>
        <v>651.4824887999999</v>
      </c>
      <c r="K67" s="37">
        <f t="shared" si="29"/>
        <v>0.005564970814666666</v>
      </c>
      <c r="T67" s="4">
        <f>+D67</f>
        <v>600000</v>
      </c>
      <c r="U67" s="4">
        <f>+K67*D67</f>
        <v>3338.9824888</v>
      </c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</row>
    <row r="68" spans="1:76" s="73" customFormat="1" ht="12.75">
      <c r="A68" s="73" t="s">
        <v>64</v>
      </c>
      <c r="B68" s="73" t="s">
        <v>69</v>
      </c>
      <c r="C68" s="73">
        <v>200000</v>
      </c>
      <c r="D68" s="73">
        <v>620000</v>
      </c>
      <c r="E68" s="73">
        <v>781.25</v>
      </c>
      <c r="F68" s="73">
        <v>500</v>
      </c>
      <c r="G68" s="73">
        <f t="shared" si="28"/>
        <v>3359.375</v>
      </c>
      <c r="I68" s="74">
        <v>2</v>
      </c>
      <c r="J68" s="73">
        <f t="shared" si="27"/>
        <v>325.74124439999997</v>
      </c>
      <c r="K68" s="74">
        <f t="shared" si="29"/>
        <v>0.005943735878064516</v>
      </c>
      <c r="V68" s="73">
        <f>+D68</f>
        <v>620000</v>
      </c>
      <c r="W68" s="73">
        <f>+K68*D68</f>
        <v>3685.1162444</v>
      </c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</row>
    <row r="69" spans="1:76" s="4" customFormat="1" ht="12.75">
      <c r="A69" s="4" t="s">
        <v>94</v>
      </c>
      <c r="B69" s="4" t="s">
        <v>236</v>
      </c>
      <c r="C69" s="4">
        <v>400000</v>
      </c>
      <c r="D69" s="4">
        <f>C69*1.6</f>
        <v>640000</v>
      </c>
      <c r="E69" s="4">
        <v>7812.5</v>
      </c>
      <c r="F69" s="4">
        <v>5000</v>
      </c>
      <c r="G69" s="4">
        <f t="shared" si="28"/>
        <v>33593.75</v>
      </c>
      <c r="I69" s="37">
        <v>48</v>
      </c>
      <c r="J69" s="4">
        <f t="shared" si="27"/>
        <v>7817.7898656</v>
      </c>
      <c r="K69" s="37">
        <f t="shared" si="29"/>
        <v>0.06470553104</v>
      </c>
      <c r="V69" s="4">
        <f>+D69</f>
        <v>640000</v>
      </c>
      <c r="W69" s="4">
        <f>+K69*D69</f>
        <v>41411.5398656</v>
      </c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</row>
    <row r="71" spans="11:23" ht="12.75">
      <c r="K71" s="72"/>
      <c r="M71" s="4">
        <f>SUM(M7:M69)</f>
        <v>69992.36037579998</v>
      </c>
      <c r="O71" s="4">
        <f aca="true" t="shared" si="38" ref="O71:W71">SUM(O7:O69)</f>
        <v>130867.74799649997</v>
      </c>
      <c r="Q71" s="4">
        <f t="shared" si="38"/>
        <v>189895.47936719994</v>
      </c>
      <c r="S71" s="4">
        <f t="shared" si="38"/>
        <v>147735.59258459994</v>
      </c>
      <c r="U71" s="4">
        <f t="shared" si="38"/>
        <v>145185.74203519995</v>
      </c>
      <c r="W71" s="4">
        <f t="shared" si="38"/>
        <v>226242.60082749993</v>
      </c>
    </row>
    <row r="72" spans="11:48" ht="12.75">
      <c r="K72" s="72">
        <f>SUM(K7:K71)</f>
        <v>1.3652195226735855</v>
      </c>
      <c r="M72" s="4">
        <f>+M71/$M$3</f>
        <v>0.5832696697983332</v>
      </c>
      <c r="O72" s="4">
        <f aca="true" t="shared" si="39" ref="O72:AV72">+O71/$M$3</f>
        <v>1.0905645666374997</v>
      </c>
      <c r="Q72" s="4">
        <f t="shared" si="39"/>
        <v>1.5824623280599994</v>
      </c>
      <c r="S72" s="4">
        <f t="shared" si="39"/>
        <v>1.2311299382049996</v>
      </c>
      <c r="U72" s="4">
        <f t="shared" si="39"/>
        <v>1.2098811836266663</v>
      </c>
      <c r="W72" s="4">
        <f t="shared" si="39"/>
        <v>1.8853550068958327</v>
      </c>
      <c r="Y72" s="4">
        <f t="shared" si="39"/>
        <v>0</v>
      </c>
      <c r="Z72" s="4">
        <f t="shared" si="39"/>
        <v>0</v>
      </c>
      <c r="AA72" s="4">
        <f t="shared" si="39"/>
        <v>0</v>
      </c>
      <c r="AB72" s="4">
        <f t="shared" si="39"/>
        <v>0</v>
      </c>
      <c r="AC72" s="4">
        <f t="shared" si="39"/>
        <v>0</v>
      </c>
      <c r="AD72" s="4">
        <f t="shared" si="39"/>
        <v>0</v>
      </c>
      <c r="AE72" s="4">
        <f t="shared" si="39"/>
        <v>0</v>
      </c>
      <c r="AF72" s="4">
        <f t="shared" si="39"/>
        <v>0</v>
      </c>
      <c r="AG72" s="4">
        <f t="shared" si="39"/>
        <v>0</v>
      </c>
      <c r="AH72" s="4">
        <f t="shared" si="39"/>
        <v>0</v>
      </c>
      <c r="AI72" s="4">
        <f t="shared" si="39"/>
        <v>0</v>
      </c>
      <c r="AJ72" s="4">
        <f t="shared" si="39"/>
        <v>0</v>
      </c>
      <c r="AK72" s="4">
        <f t="shared" si="39"/>
        <v>0</v>
      </c>
      <c r="AL72" s="4">
        <f t="shared" si="39"/>
        <v>0</v>
      </c>
      <c r="AM72" s="4">
        <f t="shared" si="39"/>
        <v>0</v>
      </c>
      <c r="AN72" s="4">
        <f t="shared" si="39"/>
        <v>0</v>
      </c>
      <c r="AO72" s="4">
        <f t="shared" si="39"/>
        <v>0</v>
      </c>
      <c r="AP72" s="4">
        <f t="shared" si="39"/>
        <v>0</v>
      </c>
      <c r="AQ72" s="4">
        <f t="shared" si="39"/>
        <v>0</v>
      </c>
      <c r="AR72" s="4">
        <f t="shared" si="39"/>
        <v>0</v>
      </c>
      <c r="AS72" s="4">
        <f t="shared" si="39"/>
        <v>0</v>
      </c>
      <c r="AT72" s="4">
        <f t="shared" si="39"/>
        <v>0</v>
      </c>
      <c r="AU72" s="4">
        <f t="shared" si="39"/>
        <v>0</v>
      </c>
      <c r="AV72" s="4">
        <f t="shared" si="39"/>
        <v>0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Transporte Nacasy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usuario de Microsoft Office satisfecho.</dc:creator>
  <cp:keywords/>
  <dc:description/>
  <cp:lastModifiedBy>owner</cp:lastModifiedBy>
  <cp:lastPrinted>2007-02-12T16:52:31Z</cp:lastPrinted>
  <dcterms:created xsi:type="dcterms:W3CDTF">2003-02-20T09:09:12Z</dcterms:created>
  <dcterms:modified xsi:type="dcterms:W3CDTF">2010-03-25T14:08:30Z</dcterms:modified>
  <cp:category/>
  <cp:version/>
  <cp:contentType/>
  <cp:contentStatus/>
</cp:coreProperties>
</file>